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s Documentos\Curso Taller Evaluacion de PP en salud\"/>
    </mc:Choice>
  </mc:AlternateContent>
  <bookViews>
    <workbookView xWindow="0" yWindow="0" windowWidth="21600" windowHeight="8535" tabRatio="817" activeTab="4"/>
  </bookViews>
  <sheets>
    <sheet name="Ficha Técnica Gasto Persona 1" sheetId="7" r:id="rId1"/>
    <sheet name="Datos gasto Persona" sheetId="11" r:id="rId2"/>
    <sheet name="Ficha Técnica Gasto Comunidad 2" sheetId="9" r:id="rId3"/>
    <sheet name="Datos gasto Comunidad(2)" sheetId="12" r:id="rId4"/>
    <sheet name="PEF 2009-2015 SHCP" sheetId="13" r:id="rId5"/>
  </sheets>
  <definedNames>
    <definedName name="_xlnm.Print_Area" localSheetId="3">'Datos gasto Comunidad(2)'!$A$1:$M$129</definedName>
    <definedName name="_xlnm.Print_Area" localSheetId="1">'Datos gasto Persona'!$A$1:$N$129</definedName>
  </definedNames>
  <calcPr calcId="152511"/>
</workbook>
</file>

<file path=xl/calcChain.xml><?xml version="1.0" encoding="utf-8"?>
<calcChain xmlns="http://schemas.openxmlformats.org/spreadsheetml/2006/main">
  <c r="F48" i="13" l="1"/>
  <c r="E48" i="13"/>
  <c r="E47" i="13"/>
  <c r="E46" i="13"/>
  <c r="F47" i="13" l="1"/>
  <c r="F46" i="13"/>
  <c r="E45" i="13"/>
  <c r="F45" i="13" s="1"/>
  <c r="E44" i="13"/>
  <c r="F44" i="13" s="1"/>
  <c r="E43" i="13"/>
  <c r="F43" i="13" s="1"/>
  <c r="F42" i="13"/>
  <c r="E42" i="13"/>
  <c r="I41" i="11"/>
  <c r="AN36" i="13" l="1"/>
  <c r="AN35" i="13"/>
  <c r="AN34" i="13"/>
  <c r="AN33" i="13"/>
  <c r="AN32" i="13"/>
  <c r="AN31" i="13"/>
  <c r="AN30" i="13"/>
  <c r="AN29" i="13"/>
  <c r="AN28" i="13"/>
  <c r="AN27" i="13"/>
  <c r="AN26" i="13"/>
  <c r="AN25" i="13"/>
  <c r="AN24" i="13"/>
  <c r="AN23" i="13"/>
  <c r="AN22" i="13"/>
  <c r="AN21" i="13"/>
  <c r="AN20" i="13"/>
  <c r="AN19" i="13"/>
  <c r="AN18" i="13"/>
  <c r="AN17" i="13"/>
  <c r="AN16" i="13"/>
  <c r="AN15" i="13"/>
  <c r="AN14" i="13"/>
  <c r="AN13" i="13"/>
  <c r="AN12" i="13"/>
  <c r="AN11" i="13"/>
  <c r="AN10" i="13"/>
  <c r="AN9" i="13"/>
  <c r="AN8" i="13"/>
  <c r="AN7" i="13"/>
  <c r="AN6" i="13"/>
  <c r="AN5" i="13"/>
  <c r="AR37" i="13"/>
  <c r="AQ37" i="13"/>
  <c r="AP37" i="13"/>
  <c r="AO37" i="13"/>
  <c r="AM37" i="13"/>
  <c r="AH36" i="13"/>
  <c r="AH34" i="13"/>
  <c r="AH32" i="13"/>
  <c r="AH30" i="13"/>
  <c r="AH28" i="13"/>
  <c r="AH26" i="13"/>
  <c r="AH24" i="13"/>
  <c r="AH22" i="13"/>
  <c r="AH20" i="13"/>
  <c r="AH18" i="13"/>
  <c r="AH16" i="13"/>
  <c r="AH14" i="13"/>
  <c r="AH12" i="13"/>
  <c r="AH10" i="13"/>
  <c r="AH8" i="13"/>
  <c r="AH6" i="13"/>
  <c r="AH35" i="13"/>
  <c r="AH33" i="13"/>
  <c r="AH31" i="13"/>
  <c r="AH29" i="13"/>
  <c r="AH27" i="13"/>
  <c r="AH25" i="13"/>
  <c r="AH23" i="13"/>
  <c r="AH21" i="13"/>
  <c r="AH19" i="13"/>
  <c r="AH17" i="13"/>
  <c r="AH15" i="13"/>
  <c r="AH13" i="13"/>
  <c r="AH11" i="13"/>
  <c r="AH9" i="13"/>
  <c r="AH7" i="13"/>
  <c r="AH5" i="13"/>
  <c r="AL37" i="13"/>
  <c r="AK37" i="13"/>
  <c r="AJ37" i="13"/>
  <c r="AI37" i="13"/>
  <c r="AG37" i="13"/>
  <c r="AB11" i="13"/>
  <c r="AB9" i="13"/>
  <c r="AB7" i="13"/>
  <c r="AB5" i="13"/>
  <c r="AB36" i="13"/>
  <c r="AB35" i="13"/>
  <c r="AB34" i="13"/>
  <c r="AB33" i="13"/>
  <c r="AB32" i="13"/>
  <c r="AB31" i="13"/>
  <c r="AB30" i="13"/>
  <c r="AB29" i="13"/>
  <c r="AB28" i="13"/>
  <c r="AB27" i="13"/>
  <c r="AB26" i="13"/>
  <c r="AB25" i="13"/>
  <c r="AB24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0" i="13"/>
  <c r="AB8" i="13"/>
  <c r="AB6" i="13"/>
  <c r="AF37" i="13"/>
  <c r="AE37" i="13"/>
  <c r="AD37" i="13"/>
  <c r="AC37" i="13"/>
  <c r="AA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V7" i="13"/>
  <c r="V6" i="13"/>
  <c r="V5" i="13"/>
  <c r="Z37" i="13"/>
  <c r="Y37" i="13"/>
  <c r="X37" i="13"/>
  <c r="W37" i="13"/>
  <c r="U37" i="13"/>
  <c r="P36" i="13"/>
  <c r="P34" i="13"/>
  <c r="P32" i="13"/>
  <c r="P30" i="13"/>
  <c r="P28" i="13"/>
  <c r="P26" i="13"/>
  <c r="P24" i="13"/>
  <c r="P22" i="13"/>
  <c r="P20" i="13"/>
  <c r="P18" i="13"/>
  <c r="P16" i="13"/>
  <c r="P14" i="13"/>
  <c r="P12" i="13"/>
  <c r="P10" i="13"/>
  <c r="P8" i="13"/>
  <c r="P6" i="13"/>
  <c r="P35" i="13"/>
  <c r="P33" i="13"/>
  <c r="P31" i="13"/>
  <c r="P29" i="13"/>
  <c r="P27" i="13"/>
  <c r="P25" i="13"/>
  <c r="P23" i="13"/>
  <c r="P21" i="13"/>
  <c r="P19" i="13"/>
  <c r="P17" i="13"/>
  <c r="P15" i="13"/>
  <c r="P13" i="13"/>
  <c r="P11" i="13"/>
  <c r="P9" i="13"/>
  <c r="P7" i="13"/>
  <c r="P5" i="13"/>
  <c r="P37" i="13" s="1"/>
  <c r="T37" i="13"/>
  <c r="S37" i="13"/>
  <c r="R37" i="13"/>
  <c r="Q37" i="13"/>
  <c r="O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N37" i="13"/>
  <c r="M37" i="13"/>
  <c r="L37" i="13"/>
  <c r="K37" i="13"/>
  <c r="I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H37" i="13"/>
  <c r="G37" i="13"/>
  <c r="F37" i="13"/>
  <c r="E37" i="13"/>
  <c r="C37" i="13"/>
  <c r="D37" i="13" l="1"/>
  <c r="AH37" i="13"/>
  <c r="AN37" i="13"/>
  <c r="AB37" i="13"/>
  <c r="V37" i="13"/>
  <c r="J37" i="13"/>
  <c r="I82" i="12" l="1"/>
  <c r="I82" i="11"/>
  <c r="J82" i="11" l="1"/>
  <c r="K82" i="11" s="1"/>
  <c r="L82" i="11" s="1"/>
  <c r="F82" i="11"/>
  <c r="E82" i="11"/>
  <c r="D82" i="11"/>
  <c r="C82" i="11"/>
  <c r="J82" i="12" l="1"/>
  <c r="K82" i="12" s="1"/>
  <c r="L82" i="12" s="1"/>
  <c r="F82" i="12"/>
  <c r="E82" i="12"/>
  <c r="D82" i="12"/>
  <c r="C82" i="12"/>
  <c r="C41" i="12" l="1"/>
  <c r="D41" i="12"/>
  <c r="E41" i="12"/>
  <c r="F41" i="12"/>
  <c r="F123" i="12" s="1"/>
  <c r="G41" i="12"/>
  <c r="G123" i="12" s="1"/>
  <c r="N41" i="12"/>
  <c r="O41" i="12"/>
  <c r="P41" i="12"/>
  <c r="Q41" i="12"/>
  <c r="R41" i="12"/>
  <c r="S41" i="12"/>
  <c r="T41" i="12"/>
  <c r="U41" i="12"/>
  <c r="V41" i="12"/>
  <c r="W41" i="12"/>
  <c r="X41" i="12"/>
  <c r="Y41" i="12"/>
  <c r="C91" i="12"/>
  <c r="D91" i="12"/>
  <c r="E91" i="12"/>
  <c r="F91" i="12"/>
  <c r="G91" i="12" s="1"/>
  <c r="H91" i="12" s="1"/>
  <c r="I91" i="12" s="1"/>
  <c r="J91" i="12" s="1"/>
  <c r="K91" i="12" s="1"/>
  <c r="L91" i="12" s="1"/>
  <c r="C92" i="12"/>
  <c r="D92" i="12"/>
  <c r="E92" i="12"/>
  <c r="F92" i="12"/>
  <c r="C93" i="12"/>
  <c r="D93" i="12"/>
  <c r="E93" i="12"/>
  <c r="F93" i="12"/>
  <c r="G93" i="12" s="1"/>
  <c r="H93" i="12" s="1"/>
  <c r="I93" i="12" s="1"/>
  <c r="J93" i="12" s="1"/>
  <c r="K93" i="12" s="1"/>
  <c r="L93" i="12" s="1"/>
  <c r="C94" i="12"/>
  <c r="D94" i="12"/>
  <c r="E94" i="12"/>
  <c r="F94" i="12"/>
  <c r="G94" i="12" s="1"/>
  <c r="H94" i="12" s="1"/>
  <c r="I94" i="12" s="1"/>
  <c r="J94" i="12" s="1"/>
  <c r="K94" i="12" s="1"/>
  <c r="L94" i="12" s="1"/>
  <c r="C95" i="12"/>
  <c r="D95" i="12"/>
  <c r="E95" i="12"/>
  <c r="F95" i="12"/>
  <c r="G95" i="12" s="1"/>
  <c r="H95" i="12" s="1"/>
  <c r="I95" i="12" s="1"/>
  <c r="J95" i="12" s="1"/>
  <c r="K95" i="12" s="1"/>
  <c r="L95" i="12" s="1"/>
  <c r="C96" i="12"/>
  <c r="D96" i="12"/>
  <c r="E96" i="12"/>
  <c r="F96" i="12"/>
  <c r="G96" i="12" s="1"/>
  <c r="H96" i="12" s="1"/>
  <c r="I96" i="12" s="1"/>
  <c r="J96" i="12" s="1"/>
  <c r="K96" i="12" s="1"/>
  <c r="L96" i="12" s="1"/>
  <c r="C97" i="12"/>
  <c r="D97" i="12"/>
  <c r="E97" i="12"/>
  <c r="F97" i="12"/>
  <c r="G97" i="12" s="1"/>
  <c r="H97" i="12" s="1"/>
  <c r="I97" i="12" s="1"/>
  <c r="J97" i="12" s="1"/>
  <c r="K97" i="12" s="1"/>
  <c r="L97" i="12" s="1"/>
  <c r="C98" i="12"/>
  <c r="D98" i="12"/>
  <c r="E98" i="12"/>
  <c r="F98" i="12"/>
  <c r="G98" i="12" s="1"/>
  <c r="H98" i="12" s="1"/>
  <c r="I98" i="12" s="1"/>
  <c r="J98" i="12" s="1"/>
  <c r="K98" i="12" s="1"/>
  <c r="L98" i="12" s="1"/>
  <c r="C99" i="12"/>
  <c r="D99" i="12"/>
  <c r="E99" i="12"/>
  <c r="F99" i="12"/>
  <c r="G99" i="12" s="1"/>
  <c r="H99" i="12" s="1"/>
  <c r="I99" i="12" s="1"/>
  <c r="J99" i="12" s="1"/>
  <c r="K99" i="12" s="1"/>
  <c r="L99" i="12" s="1"/>
  <c r="C100" i="12"/>
  <c r="D100" i="12"/>
  <c r="E100" i="12"/>
  <c r="F100" i="12"/>
  <c r="G100" i="12" s="1"/>
  <c r="H100" i="12" s="1"/>
  <c r="I100" i="12" s="1"/>
  <c r="J100" i="12" s="1"/>
  <c r="K100" i="12" s="1"/>
  <c r="L100" i="12" s="1"/>
  <c r="C101" i="12"/>
  <c r="D101" i="12"/>
  <c r="E101" i="12"/>
  <c r="F101" i="12"/>
  <c r="G101" i="12" s="1"/>
  <c r="H101" i="12" s="1"/>
  <c r="I101" i="12" s="1"/>
  <c r="J101" i="12" s="1"/>
  <c r="K101" i="12" s="1"/>
  <c r="L101" i="12" s="1"/>
  <c r="C102" i="12"/>
  <c r="D102" i="12"/>
  <c r="E102" i="12"/>
  <c r="F102" i="12"/>
  <c r="G102" i="12" s="1"/>
  <c r="H102" i="12" s="1"/>
  <c r="I102" i="12" s="1"/>
  <c r="J102" i="12" s="1"/>
  <c r="K102" i="12" s="1"/>
  <c r="L102" i="12" s="1"/>
  <c r="C103" i="12"/>
  <c r="D103" i="12"/>
  <c r="E103" i="12"/>
  <c r="F103" i="12"/>
  <c r="G103" i="12" s="1"/>
  <c r="H103" i="12" s="1"/>
  <c r="I103" i="12" s="1"/>
  <c r="J103" i="12" s="1"/>
  <c r="K103" i="12" s="1"/>
  <c r="L103" i="12" s="1"/>
  <c r="C104" i="12"/>
  <c r="D104" i="12"/>
  <c r="E104" i="12"/>
  <c r="F104" i="12"/>
  <c r="G104" i="12" s="1"/>
  <c r="H104" i="12" s="1"/>
  <c r="I104" i="12" s="1"/>
  <c r="J104" i="12" s="1"/>
  <c r="K104" i="12" s="1"/>
  <c r="L104" i="12" s="1"/>
  <c r="C105" i="12"/>
  <c r="D105" i="12"/>
  <c r="E105" i="12"/>
  <c r="F105" i="12"/>
  <c r="G105" i="12" s="1"/>
  <c r="H105" i="12" s="1"/>
  <c r="I105" i="12" s="1"/>
  <c r="J105" i="12" s="1"/>
  <c r="K105" i="12" s="1"/>
  <c r="L105" i="12" s="1"/>
  <c r="C106" i="12"/>
  <c r="D106" i="12"/>
  <c r="E106" i="12"/>
  <c r="F106" i="12"/>
  <c r="G106" i="12" s="1"/>
  <c r="H106" i="12" s="1"/>
  <c r="I106" i="12" s="1"/>
  <c r="J106" i="12" s="1"/>
  <c r="K106" i="12" s="1"/>
  <c r="L106" i="12" s="1"/>
  <c r="C107" i="12"/>
  <c r="D107" i="12"/>
  <c r="E107" i="12"/>
  <c r="F107" i="12"/>
  <c r="G107" i="12" s="1"/>
  <c r="H107" i="12" s="1"/>
  <c r="I107" i="12" s="1"/>
  <c r="J107" i="12" s="1"/>
  <c r="K107" i="12" s="1"/>
  <c r="L107" i="12" s="1"/>
  <c r="C108" i="12"/>
  <c r="D108" i="12"/>
  <c r="E108" i="12"/>
  <c r="F108" i="12"/>
  <c r="G108" i="12" s="1"/>
  <c r="H108" i="12" s="1"/>
  <c r="I108" i="12" s="1"/>
  <c r="J108" i="12" s="1"/>
  <c r="K108" i="12" s="1"/>
  <c r="L108" i="12" s="1"/>
  <c r="C109" i="12"/>
  <c r="D109" i="12"/>
  <c r="E109" i="12"/>
  <c r="F109" i="12"/>
  <c r="G109" i="12" s="1"/>
  <c r="H109" i="12" s="1"/>
  <c r="I109" i="12" s="1"/>
  <c r="J109" i="12" s="1"/>
  <c r="K109" i="12" s="1"/>
  <c r="L109" i="12" s="1"/>
  <c r="C110" i="12"/>
  <c r="D110" i="12"/>
  <c r="E110" i="12"/>
  <c r="F110" i="12"/>
  <c r="G110" i="12" s="1"/>
  <c r="H110" i="12" s="1"/>
  <c r="I110" i="12" s="1"/>
  <c r="J110" i="12" s="1"/>
  <c r="K110" i="12" s="1"/>
  <c r="L110" i="12" s="1"/>
  <c r="C111" i="12"/>
  <c r="D111" i="12"/>
  <c r="E111" i="12"/>
  <c r="F111" i="12"/>
  <c r="G111" i="12" s="1"/>
  <c r="H111" i="12" s="1"/>
  <c r="I111" i="12" s="1"/>
  <c r="J111" i="12" s="1"/>
  <c r="K111" i="12" s="1"/>
  <c r="L111" i="12" s="1"/>
  <c r="C112" i="12"/>
  <c r="D112" i="12"/>
  <c r="E112" i="12"/>
  <c r="F112" i="12"/>
  <c r="G112" i="12" s="1"/>
  <c r="H112" i="12" s="1"/>
  <c r="I112" i="12" s="1"/>
  <c r="J112" i="12" s="1"/>
  <c r="K112" i="12" s="1"/>
  <c r="L112" i="12" s="1"/>
  <c r="C113" i="12"/>
  <c r="D113" i="12"/>
  <c r="E113" i="12"/>
  <c r="F113" i="12"/>
  <c r="G113" i="12" s="1"/>
  <c r="H113" i="12" s="1"/>
  <c r="I113" i="12" s="1"/>
  <c r="J113" i="12" s="1"/>
  <c r="K113" i="12" s="1"/>
  <c r="L113" i="12" s="1"/>
  <c r="C114" i="12"/>
  <c r="D114" i="12"/>
  <c r="E114" i="12"/>
  <c r="F114" i="12"/>
  <c r="G114" i="12" s="1"/>
  <c r="H114" i="12" s="1"/>
  <c r="I114" i="12" s="1"/>
  <c r="J114" i="12" s="1"/>
  <c r="K114" i="12" s="1"/>
  <c r="L114" i="12" s="1"/>
  <c r="C115" i="12"/>
  <c r="D115" i="12"/>
  <c r="E115" i="12"/>
  <c r="F115" i="12"/>
  <c r="G115" i="12" s="1"/>
  <c r="H115" i="12" s="1"/>
  <c r="I115" i="12" s="1"/>
  <c r="J115" i="12" s="1"/>
  <c r="K115" i="12" s="1"/>
  <c r="L115" i="12" s="1"/>
  <c r="C116" i="12"/>
  <c r="D116" i="12"/>
  <c r="E116" i="12"/>
  <c r="F116" i="12"/>
  <c r="G116" i="12" s="1"/>
  <c r="H116" i="12" s="1"/>
  <c r="I116" i="12" s="1"/>
  <c r="J116" i="12" s="1"/>
  <c r="K116" i="12" s="1"/>
  <c r="L116" i="12" s="1"/>
  <c r="C117" i="12"/>
  <c r="D117" i="12"/>
  <c r="E117" i="12"/>
  <c r="F117" i="12"/>
  <c r="G117" i="12" s="1"/>
  <c r="H117" i="12" s="1"/>
  <c r="I117" i="12" s="1"/>
  <c r="J117" i="12" s="1"/>
  <c r="K117" i="12" s="1"/>
  <c r="L117" i="12" s="1"/>
  <c r="C118" i="12"/>
  <c r="D118" i="12"/>
  <c r="E118" i="12"/>
  <c r="F118" i="12"/>
  <c r="G118" i="12" s="1"/>
  <c r="H118" i="12" s="1"/>
  <c r="I118" i="12" s="1"/>
  <c r="J118" i="12" s="1"/>
  <c r="K118" i="12" s="1"/>
  <c r="L118" i="12" s="1"/>
  <c r="C119" i="12"/>
  <c r="D119" i="12"/>
  <c r="E119" i="12"/>
  <c r="F119" i="12"/>
  <c r="G119" i="12" s="1"/>
  <c r="H119" i="12" s="1"/>
  <c r="I119" i="12" s="1"/>
  <c r="J119" i="12" s="1"/>
  <c r="K119" i="12" s="1"/>
  <c r="L119" i="12" s="1"/>
  <c r="C120" i="12"/>
  <c r="D120" i="12"/>
  <c r="E120" i="12"/>
  <c r="F120" i="12"/>
  <c r="G120" i="12" s="1"/>
  <c r="H120" i="12" s="1"/>
  <c r="I120" i="12" s="1"/>
  <c r="J120" i="12" s="1"/>
  <c r="K120" i="12" s="1"/>
  <c r="L120" i="12" s="1"/>
  <c r="C121" i="12"/>
  <c r="D121" i="12"/>
  <c r="E121" i="12"/>
  <c r="F121" i="12"/>
  <c r="G121" i="12" s="1"/>
  <c r="H121" i="12" s="1"/>
  <c r="I121" i="12" s="1"/>
  <c r="J121" i="12" s="1"/>
  <c r="K121" i="12" s="1"/>
  <c r="L121" i="12" s="1"/>
  <c r="C122" i="12"/>
  <c r="D122" i="12"/>
  <c r="E122" i="12"/>
  <c r="F122" i="12"/>
  <c r="G122" i="12" s="1"/>
  <c r="H122" i="12" s="1"/>
  <c r="I122" i="12" s="1"/>
  <c r="J122" i="12" s="1"/>
  <c r="K122" i="12" s="1"/>
  <c r="L122" i="12" s="1"/>
  <c r="D123" i="12"/>
  <c r="H123" i="12"/>
  <c r="I123" i="12"/>
  <c r="J123" i="12"/>
  <c r="I9" i="11"/>
  <c r="J9" i="11" s="1"/>
  <c r="I10" i="11"/>
  <c r="I11" i="11"/>
  <c r="J11" i="11" s="1"/>
  <c r="K11" i="11" s="1"/>
  <c r="L11" i="11" s="1"/>
  <c r="I12" i="11"/>
  <c r="J12" i="11" s="1"/>
  <c r="K12" i="11" s="1"/>
  <c r="L12" i="11" s="1"/>
  <c r="I15" i="11"/>
  <c r="J15" i="11" s="1"/>
  <c r="K15" i="11" s="1"/>
  <c r="L15" i="11" s="1"/>
  <c r="I16" i="11"/>
  <c r="J16" i="11" s="1"/>
  <c r="K16" i="11" s="1"/>
  <c r="L16" i="11" s="1"/>
  <c r="I13" i="11"/>
  <c r="J13" i="11" s="1"/>
  <c r="K13" i="11" s="1"/>
  <c r="L13" i="11" s="1"/>
  <c r="I14" i="11"/>
  <c r="J14" i="11" s="1"/>
  <c r="K14" i="11" s="1"/>
  <c r="L14" i="11" s="1"/>
  <c r="I17" i="11"/>
  <c r="J17" i="11" s="1"/>
  <c r="K17" i="11" s="1"/>
  <c r="L17" i="11" s="1"/>
  <c r="I18" i="11"/>
  <c r="J18" i="11" s="1"/>
  <c r="K18" i="11" s="1"/>
  <c r="L18" i="11" s="1"/>
  <c r="I23" i="11"/>
  <c r="J23" i="11" s="1"/>
  <c r="K23" i="11" s="1"/>
  <c r="L23" i="11" s="1"/>
  <c r="I19" i="11"/>
  <c r="J19" i="11" s="1"/>
  <c r="K19" i="11" s="1"/>
  <c r="L19" i="11" s="1"/>
  <c r="I20" i="11"/>
  <c r="J20" i="11" s="1"/>
  <c r="K20" i="11" s="1"/>
  <c r="L20" i="11" s="1"/>
  <c r="I21" i="11"/>
  <c r="J21" i="11" s="1"/>
  <c r="K21" i="11" s="1"/>
  <c r="L21" i="11" s="1"/>
  <c r="I22" i="11"/>
  <c r="J22" i="11" s="1"/>
  <c r="K22" i="11" s="1"/>
  <c r="L22" i="11" s="1"/>
  <c r="I24" i="11"/>
  <c r="J24" i="11" s="1"/>
  <c r="K24" i="11" s="1"/>
  <c r="L24" i="11" s="1"/>
  <c r="I25" i="11"/>
  <c r="J25" i="11" s="1"/>
  <c r="K25" i="11" s="1"/>
  <c r="L25" i="11" s="1"/>
  <c r="I26" i="11"/>
  <c r="J26" i="11" s="1"/>
  <c r="K26" i="11" s="1"/>
  <c r="L26" i="11" s="1"/>
  <c r="I27" i="11"/>
  <c r="J27" i="11" s="1"/>
  <c r="K27" i="11" s="1"/>
  <c r="L27" i="11" s="1"/>
  <c r="I28" i="11"/>
  <c r="J28" i="11" s="1"/>
  <c r="K28" i="11" s="1"/>
  <c r="L28" i="11" s="1"/>
  <c r="I29" i="11"/>
  <c r="J29" i="11" s="1"/>
  <c r="K29" i="11" s="1"/>
  <c r="L29" i="11" s="1"/>
  <c r="I30" i="11"/>
  <c r="J30" i="11" s="1"/>
  <c r="K30" i="11" s="1"/>
  <c r="L30" i="11" s="1"/>
  <c r="I31" i="11"/>
  <c r="J31" i="11" s="1"/>
  <c r="K31" i="11" s="1"/>
  <c r="L31" i="11" s="1"/>
  <c r="I32" i="11"/>
  <c r="J32" i="11" s="1"/>
  <c r="K32" i="11" s="1"/>
  <c r="L32" i="11" s="1"/>
  <c r="I33" i="11"/>
  <c r="J33" i="11" s="1"/>
  <c r="K33" i="11" s="1"/>
  <c r="L33" i="11" s="1"/>
  <c r="I34" i="11"/>
  <c r="J34" i="11" s="1"/>
  <c r="K34" i="11" s="1"/>
  <c r="L34" i="11" s="1"/>
  <c r="I35" i="11"/>
  <c r="J35" i="11" s="1"/>
  <c r="K35" i="11" s="1"/>
  <c r="L35" i="11" s="1"/>
  <c r="I36" i="11"/>
  <c r="J36" i="11" s="1"/>
  <c r="K36" i="11" s="1"/>
  <c r="L36" i="11" s="1"/>
  <c r="I37" i="11"/>
  <c r="J37" i="11" s="1"/>
  <c r="K37" i="11" s="1"/>
  <c r="L37" i="11" s="1"/>
  <c r="I38" i="11"/>
  <c r="J38" i="11" s="1"/>
  <c r="K38" i="11" s="1"/>
  <c r="L38" i="11" s="1"/>
  <c r="I39" i="11"/>
  <c r="J39" i="11" s="1"/>
  <c r="K39" i="11" s="1"/>
  <c r="L39" i="11" s="1"/>
  <c r="I40" i="11"/>
  <c r="J40" i="11" s="1"/>
  <c r="K40" i="11" s="1"/>
  <c r="L40" i="11" s="1"/>
  <c r="C41" i="11"/>
  <c r="D41" i="11"/>
  <c r="E41" i="11"/>
  <c r="F41" i="11"/>
  <c r="G41" i="11"/>
  <c r="F123" i="11"/>
  <c r="C91" i="11"/>
  <c r="D91" i="11"/>
  <c r="E91" i="11"/>
  <c r="F91" i="11"/>
  <c r="C92" i="11"/>
  <c r="D92" i="11"/>
  <c r="E92" i="11"/>
  <c r="F92" i="11"/>
  <c r="C93" i="11"/>
  <c r="D93" i="11"/>
  <c r="E93" i="11"/>
  <c r="F93" i="11"/>
  <c r="G93" i="11" s="1"/>
  <c r="H93" i="11" s="1"/>
  <c r="I93" i="11" s="1"/>
  <c r="J93" i="11" s="1"/>
  <c r="K93" i="11" s="1"/>
  <c r="L93" i="11" s="1"/>
  <c r="C94" i="11"/>
  <c r="D94" i="11"/>
  <c r="E94" i="11"/>
  <c r="F94" i="11"/>
  <c r="G94" i="11" s="1"/>
  <c r="H94" i="11" s="1"/>
  <c r="I94" i="11" s="1"/>
  <c r="J94" i="11" s="1"/>
  <c r="K94" i="11" s="1"/>
  <c r="L94" i="11" s="1"/>
  <c r="C95" i="11"/>
  <c r="D95" i="11"/>
  <c r="E95" i="11"/>
  <c r="F95" i="11"/>
  <c r="G95" i="11" s="1"/>
  <c r="H95" i="11" s="1"/>
  <c r="I95" i="11" s="1"/>
  <c r="J95" i="11" s="1"/>
  <c r="K95" i="11" s="1"/>
  <c r="L95" i="11" s="1"/>
  <c r="C96" i="11"/>
  <c r="D96" i="11"/>
  <c r="E96" i="11"/>
  <c r="F96" i="11"/>
  <c r="C97" i="11"/>
  <c r="D97" i="11"/>
  <c r="E97" i="11"/>
  <c r="F97" i="11"/>
  <c r="G97" i="11" s="1"/>
  <c r="H97" i="11" s="1"/>
  <c r="I97" i="11" s="1"/>
  <c r="J97" i="11" s="1"/>
  <c r="K97" i="11" s="1"/>
  <c r="L97" i="11" s="1"/>
  <c r="C98" i="11"/>
  <c r="D98" i="11"/>
  <c r="E98" i="11"/>
  <c r="F98" i="11"/>
  <c r="G98" i="11" s="1"/>
  <c r="H98" i="11" s="1"/>
  <c r="I98" i="11" s="1"/>
  <c r="J98" i="11" s="1"/>
  <c r="K98" i="11" s="1"/>
  <c r="L98" i="11" s="1"/>
  <c r="C99" i="11"/>
  <c r="D99" i="11"/>
  <c r="E99" i="11"/>
  <c r="F99" i="11"/>
  <c r="G99" i="11" s="1"/>
  <c r="H99" i="11" s="1"/>
  <c r="I99" i="11" s="1"/>
  <c r="J99" i="11" s="1"/>
  <c r="K99" i="11" s="1"/>
  <c r="L99" i="11" s="1"/>
  <c r="C100" i="11"/>
  <c r="D100" i="11"/>
  <c r="E100" i="11"/>
  <c r="F100" i="11"/>
  <c r="G100" i="11" s="1"/>
  <c r="H100" i="11" s="1"/>
  <c r="I100" i="11" s="1"/>
  <c r="J100" i="11" s="1"/>
  <c r="K100" i="11" s="1"/>
  <c r="L100" i="11" s="1"/>
  <c r="C101" i="11"/>
  <c r="D101" i="11"/>
  <c r="E101" i="11"/>
  <c r="F101" i="11"/>
  <c r="G101" i="11" s="1"/>
  <c r="H101" i="11" s="1"/>
  <c r="I101" i="11" s="1"/>
  <c r="J101" i="11" s="1"/>
  <c r="K101" i="11" s="1"/>
  <c r="L101" i="11" s="1"/>
  <c r="C102" i="11"/>
  <c r="D102" i="11"/>
  <c r="E102" i="11"/>
  <c r="F102" i="11"/>
  <c r="G102" i="11" s="1"/>
  <c r="H102" i="11" s="1"/>
  <c r="I102" i="11" s="1"/>
  <c r="J102" i="11" s="1"/>
  <c r="K102" i="11" s="1"/>
  <c r="L102" i="11" s="1"/>
  <c r="C103" i="11"/>
  <c r="D103" i="11"/>
  <c r="E103" i="11"/>
  <c r="F103" i="11"/>
  <c r="G103" i="11" s="1"/>
  <c r="H103" i="11" s="1"/>
  <c r="I103" i="11" s="1"/>
  <c r="J103" i="11" s="1"/>
  <c r="K103" i="11" s="1"/>
  <c r="L103" i="11" s="1"/>
  <c r="C104" i="11"/>
  <c r="D104" i="11"/>
  <c r="E104" i="11"/>
  <c r="F104" i="11"/>
  <c r="G104" i="11" s="1"/>
  <c r="H104" i="11" s="1"/>
  <c r="I104" i="11" s="1"/>
  <c r="J104" i="11" s="1"/>
  <c r="K104" i="11" s="1"/>
  <c r="L104" i="11" s="1"/>
  <c r="C105" i="11"/>
  <c r="D105" i="11"/>
  <c r="E105" i="11"/>
  <c r="F105" i="11"/>
  <c r="G105" i="11" s="1"/>
  <c r="H105" i="11" s="1"/>
  <c r="I105" i="11" s="1"/>
  <c r="J105" i="11" s="1"/>
  <c r="K105" i="11" s="1"/>
  <c r="L105" i="11" s="1"/>
  <c r="C106" i="11"/>
  <c r="D106" i="11"/>
  <c r="E106" i="11"/>
  <c r="F106" i="11"/>
  <c r="G106" i="11" s="1"/>
  <c r="H106" i="11" s="1"/>
  <c r="I106" i="11" s="1"/>
  <c r="J106" i="11" s="1"/>
  <c r="K106" i="11" s="1"/>
  <c r="L106" i="11" s="1"/>
  <c r="C107" i="11"/>
  <c r="D107" i="11"/>
  <c r="E107" i="11"/>
  <c r="F107" i="11"/>
  <c r="G107" i="11" s="1"/>
  <c r="H107" i="11" s="1"/>
  <c r="I107" i="11" s="1"/>
  <c r="J107" i="11" s="1"/>
  <c r="K107" i="11" s="1"/>
  <c r="L107" i="11" s="1"/>
  <c r="C108" i="11"/>
  <c r="D108" i="11"/>
  <c r="E108" i="11"/>
  <c r="F108" i="11"/>
  <c r="G108" i="11" s="1"/>
  <c r="H108" i="11" s="1"/>
  <c r="I108" i="11" s="1"/>
  <c r="J108" i="11" s="1"/>
  <c r="K108" i="11" s="1"/>
  <c r="L108" i="11" s="1"/>
  <c r="C109" i="11"/>
  <c r="D109" i="11"/>
  <c r="E109" i="11"/>
  <c r="F109" i="11"/>
  <c r="G109" i="11" s="1"/>
  <c r="H109" i="11" s="1"/>
  <c r="I109" i="11" s="1"/>
  <c r="J109" i="11" s="1"/>
  <c r="K109" i="11" s="1"/>
  <c r="L109" i="11" s="1"/>
  <c r="C110" i="11"/>
  <c r="D110" i="11"/>
  <c r="E110" i="11"/>
  <c r="F110" i="11"/>
  <c r="G110" i="11" s="1"/>
  <c r="H110" i="11" s="1"/>
  <c r="I110" i="11" s="1"/>
  <c r="J110" i="11" s="1"/>
  <c r="K110" i="11" s="1"/>
  <c r="L110" i="11" s="1"/>
  <c r="C111" i="11"/>
  <c r="D111" i="11"/>
  <c r="E111" i="11"/>
  <c r="F111" i="11"/>
  <c r="G111" i="11" s="1"/>
  <c r="H111" i="11" s="1"/>
  <c r="I111" i="11" s="1"/>
  <c r="J111" i="11" s="1"/>
  <c r="K111" i="11" s="1"/>
  <c r="L111" i="11" s="1"/>
  <c r="C112" i="11"/>
  <c r="D112" i="11"/>
  <c r="E112" i="11"/>
  <c r="F112" i="11"/>
  <c r="G112" i="11" s="1"/>
  <c r="H112" i="11" s="1"/>
  <c r="I112" i="11" s="1"/>
  <c r="J112" i="11" s="1"/>
  <c r="K112" i="11" s="1"/>
  <c r="L112" i="11" s="1"/>
  <c r="C113" i="11"/>
  <c r="D113" i="11"/>
  <c r="E113" i="11"/>
  <c r="F113" i="11"/>
  <c r="G113" i="11" s="1"/>
  <c r="H113" i="11" s="1"/>
  <c r="I113" i="11" s="1"/>
  <c r="J113" i="11" s="1"/>
  <c r="K113" i="11" s="1"/>
  <c r="L113" i="11" s="1"/>
  <c r="C114" i="11"/>
  <c r="D114" i="11"/>
  <c r="E114" i="11"/>
  <c r="F114" i="11"/>
  <c r="G114" i="11" s="1"/>
  <c r="H114" i="11" s="1"/>
  <c r="I114" i="11" s="1"/>
  <c r="J114" i="11" s="1"/>
  <c r="K114" i="11" s="1"/>
  <c r="L114" i="11" s="1"/>
  <c r="C115" i="11"/>
  <c r="D115" i="11"/>
  <c r="E115" i="11"/>
  <c r="F115" i="11"/>
  <c r="G115" i="11" s="1"/>
  <c r="H115" i="11" s="1"/>
  <c r="I115" i="11" s="1"/>
  <c r="J115" i="11" s="1"/>
  <c r="K115" i="11" s="1"/>
  <c r="L115" i="11" s="1"/>
  <c r="C116" i="11"/>
  <c r="D116" i="11"/>
  <c r="E116" i="11"/>
  <c r="F116" i="11"/>
  <c r="G116" i="11" s="1"/>
  <c r="H116" i="11" s="1"/>
  <c r="I116" i="11" s="1"/>
  <c r="J116" i="11" s="1"/>
  <c r="K116" i="11" s="1"/>
  <c r="L116" i="11" s="1"/>
  <c r="C117" i="11"/>
  <c r="D117" i="11"/>
  <c r="E117" i="11"/>
  <c r="F117" i="11"/>
  <c r="G117" i="11" s="1"/>
  <c r="H117" i="11" s="1"/>
  <c r="I117" i="11" s="1"/>
  <c r="J117" i="11" s="1"/>
  <c r="K117" i="11" s="1"/>
  <c r="L117" i="11" s="1"/>
  <c r="C118" i="11"/>
  <c r="D118" i="11"/>
  <c r="E118" i="11"/>
  <c r="F118" i="11"/>
  <c r="G118" i="11" s="1"/>
  <c r="H118" i="11" s="1"/>
  <c r="I118" i="11" s="1"/>
  <c r="J118" i="11" s="1"/>
  <c r="K118" i="11" s="1"/>
  <c r="L118" i="11" s="1"/>
  <c r="C119" i="11"/>
  <c r="D119" i="11"/>
  <c r="E119" i="11"/>
  <c r="F119" i="11"/>
  <c r="G119" i="11" s="1"/>
  <c r="H119" i="11" s="1"/>
  <c r="I119" i="11" s="1"/>
  <c r="J119" i="11" s="1"/>
  <c r="K119" i="11" s="1"/>
  <c r="L119" i="11" s="1"/>
  <c r="C120" i="11"/>
  <c r="D120" i="11"/>
  <c r="E120" i="11"/>
  <c r="F120" i="11"/>
  <c r="G120" i="11" s="1"/>
  <c r="H120" i="11" s="1"/>
  <c r="I120" i="11" s="1"/>
  <c r="J120" i="11" s="1"/>
  <c r="K120" i="11" s="1"/>
  <c r="L120" i="11" s="1"/>
  <c r="C121" i="11"/>
  <c r="D121" i="11"/>
  <c r="E121" i="11"/>
  <c r="F121" i="11"/>
  <c r="G121" i="11" s="1"/>
  <c r="H121" i="11" s="1"/>
  <c r="I121" i="11" s="1"/>
  <c r="J121" i="11" s="1"/>
  <c r="K121" i="11" s="1"/>
  <c r="L121" i="11" s="1"/>
  <c r="C122" i="11"/>
  <c r="D122" i="11"/>
  <c r="E122" i="11"/>
  <c r="F122" i="11"/>
  <c r="G122" i="11" s="1"/>
  <c r="H122" i="11" s="1"/>
  <c r="I122" i="11" s="1"/>
  <c r="J122" i="11" s="1"/>
  <c r="K122" i="11" s="1"/>
  <c r="L122" i="11" s="1"/>
  <c r="D123" i="11"/>
  <c r="G96" i="11" l="1"/>
  <c r="H96" i="11" s="1"/>
  <c r="I96" i="11" s="1"/>
  <c r="J96" i="11" s="1"/>
  <c r="K96" i="11" s="1"/>
  <c r="L96" i="11" s="1"/>
  <c r="G92" i="11"/>
  <c r="H92" i="11" s="1"/>
  <c r="I92" i="11" s="1"/>
  <c r="J92" i="11" s="1"/>
  <c r="K92" i="11" s="1"/>
  <c r="L92" i="11" s="1"/>
  <c r="G91" i="11"/>
  <c r="H91" i="11" s="1"/>
  <c r="I91" i="11" s="1"/>
  <c r="J91" i="11" s="1"/>
  <c r="K91" i="11" s="1"/>
  <c r="L91" i="11" s="1"/>
  <c r="G92" i="12"/>
  <c r="H92" i="12" s="1"/>
  <c r="I92" i="12" s="1"/>
  <c r="J92" i="12" s="1"/>
  <c r="K92" i="12" s="1"/>
  <c r="L92" i="12" s="1"/>
  <c r="E123" i="11"/>
  <c r="C123" i="11"/>
  <c r="E123" i="12"/>
  <c r="C123" i="12"/>
  <c r="K123" i="12"/>
  <c r="L123" i="12"/>
  <c r="J10" i="11"/>
  <c r="K10" i="11" s="1"/>
  <c r="L10" i="11" s="1"/>
  <c r="K9" i="11"/>
  <c r="J41" i="11" l="1"/>
  <c r="L9" i="11"/>
  <c r="L41" i="11" s="1"/>
  <c r="K41" i="11"/>
</calcChain>
</file>

<file path=xl/sharedStrings.xml><?xml version="1.0" encoding="utf-8"?>
<sst xmlns="http://schemas.openxmlformats.org/spreadsheetml/2006/main" count="862" uniqueCount="277">
  <si>
    <t>DATOS DE INDENTIFICACIÓN DEL INDICADOR</t>
  </si>
  <si>
    <t>Datos de Pp</t>
  </si>
  <si>
    <t>Ramo</t>
  </si>
  <si>
    <t xml:space="preserve">33 Fondo de Aportaciones para las Entidades Federativas y Municipios </t>
  </si>
  <si>
    <t>Programa Presupuestario</t>
  </si>
  <si>
    <t xml:space="preserve"> I002 FASSA</t>
  </si>
  <si>
    <t>Datos de indentificación del indicador</t>
  </si>
  <si>
    <t>Orden</t>
  </si>
  <si>
    <t>Nivel:</t>
  </si>
  <si>
    <t>Nombre del indicador</t>
  </si>
  <si>
    <t>Dimensión del Indicador</t>
  </si>
  <si>
    <t>Eficacia</t>
  </si>
  <si>
    <t>Tipo de valor para resultado</t>
  </si>
  <si>
    <t>Estratégico</t>
  </si>
  <si>
    <t>Definición</t>
  </si>
  <si>
    <t>Método de cálculo</t>
  </si>
  <si>
    <t>Tipo de Fórmula</t>
  </si>
  <si>
    <t>Tipo de valor de la meta</t>
  </si>
  <si>
    <t>Relativa</t>
  </si>
  <si>
    <t>Unidad de Medida</t>
  </si>
  <si>
    <t>Porcentaje</t>
  </si>
  <si>
    <t>Especifique</t>
  </si>
  <si>
    <t>Frecuencia de Medición</t>
  </si>
  <si>
    <t>Anual</t>
  </si>
  <si>
    <t>Contactos para información del indicador</t>
  </si>
  <si>
    <t xml:space="preserve">Nombre </t>
  </si>
  <si>
    <t>Apellido Paterno</t>
  </si>
  <si>
    <t>Apellido Materno</t>
  </si>
  <si>
    <t>Área</t>
  </si>
  <si>
    <t>Puesto</t>
  </si>
  <si>
    <t>Correo</t>
  </si>
  <si>
    <t>Lada</t>
  </si>
  <si>
    <t>Telefono</t>
  </si>
  <si>
    <t>Extensión</t>
  </si>
  <si>
    <t>Subdirector</t>
  </si>
  <si>
    <t>Justificación de Modificación al indicador en los campos: (Método de cálculo, Unidad de medida y/o Frecuencia de medición)</t>
  </si>
  <si>
    <t>LINEA BASE, PARAMETRIZACIÓN Y METAS DEL INDICADOR</t>
  </si>
  <si>
    <t>Sentido del indicador</t>
  </si>
  <si>
    <t>Linea base</t>
  </si>
  <si>
    <t>Año</t>
  </si>
  <si>
    <t>Periodo</t>
  </si>
  <si>
    <t>Justificación</t>
  </si>
  <si>
    <t>Valor Inicial</t>
  </si>
  <si>
    <t>Numerador</t>
  </si>
  <si>
    <t>Denominador</t>
  </si>
  <si>
    <t>Parametros de semaforización</t>
  </si>
  <si>
    <t>Tipo de valor</t>
  </si>
  <si>
    <t>umbral verde-amarillo</t>
  </si>
  <si>
    <t>Umbar amarillo-rojo</t>
  </si>
  <si>
    <t>Metas históricas y de largo plazo</t>
  </si>
  <si>
    <t>Meta esperada</t>
  </si>
  <si>
    <t>Periodo de cumplimiento</t>
  </si>
  <si>
    <t>Metas ciclo presupuestario en curso</t>
  </si>
  <si>
    <t>Periodo de Cumplimiento</t>
  </si>
  <si>
    <t>Fecha prevista del Dato Definitivo</t>
  </si>
  <si>
    <t>Otras metas</t>
  </si>
  <si>
    <t>CARACTERÍSTICAS DE LA VARIABLE</t>
  </si>
  <si>
    <t>Nombre</t>
  </si>
  <si>
    <t>Descripción</t>
  </si>
  <si>
    <t>Medio de verificación</t>
  </si>
  <si>
    <t>Unidad de medida</t>
  </si>
  <si>
    <t>Desagregación Geográfica</t>
  </si>
  <si>
    <t>Frecuencia de medición</t>
  </si>
  <si>
    <t>Método de recopilación</t>
  </si>
  <si>
    <t>Fecha de disponibilidad</t>
  </si>
  <si>
    <t>otro momento</t>
  </si>
  <si>
    <t>REFERENCIAS INTERNACIONALES</t>
  </si>
  <si>
    <t>Serie de información Disponible</t>
  </si>
  <si>
    <t>Información disponible</t>
  </si>
  <si>
    <t>Referencias adicionales</t>
  </si>
  <si>
    <t>Referencia Internacional</t>
  </si>
  <si>
    <t>Comentario Técnico</t>
  </si>
  <si>
    <t>Series estadísticas</t>
  </si>
  <si>
    <t>Ciclo</t>
  </si>
  <si>
    <t>Valor</t>
  </si>
  <si>
    <t>Serie</t>
  </si>
  <si>
    <t>TRANSVERSALIDAD GEOGRÁFICA</t>
  </si>
  <si>
    <t>Perspectiva</t>
  </si>
  <si>
    <t>Hombres</t>
  </si>
  <si>
    <t>Mujeres</t>
  </si>
  <si>
    <t>Total</t>
  </si>
  <si>
    <t>Director</t>
  </si>
  <si>
    <t>Carlos Lino</t>
  </si>
  <si>
    <t>Sosa</t>
  </si>
  <si>
    <t>Manzano</t>
  </si>
  <si>
    <t>Dirección General de Información en Salud</t>
  </si>
  <si>
    <t>Dirección de Información en Recursos para la Salud</t>
  </si>
  <si>
    <t>carlos.sosa@salud.gob.mx</t>
  </si>
  <si>
    <t>Ascendente</t>
  </si>
  <si>
    <t>2012 - 2018</t>
  </si>
  <si>
    <t>Entidad federativa</t>
  </si>
  <si>
    <t>Tasa crecimiento prom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</si>
  <si>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</si>
  <si>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</si>
  <si>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</si>
  <si>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</si>
  <si>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</si>
  <si>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</si>
  <si>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</si>
  <si>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</si>
  <si>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</si>
  <si>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COAHUILA</t>
  </si>
  <si>
    <t>06</t>
  </si>
  <si>
    <t>COLIMA</t>
  </si>
  <si>
    <t>07</t>
  </si>
  <si>
    <t>CHIAPAS</t>
  </si>
  <si>
    <t>08</t>
  </si>
  <si>
    <t>CHIHUAHUA</t>
  </si>
  <si>
    <t>09</t>
  </si>
  <si>
    <t>DISTRITO FEDERAL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</si>
  <si>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</si>
  <si>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</si>
  <si>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</si>
  <si>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</si>
  <si>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</si>
  <si>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</si>
  <si>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</si>
  <si>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</si>
  <si>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</si>
  <si>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</si>
  <si>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</si>
  <si>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MÉXICO</t>
  </si>
  <si>
    <t>16</t>
  </si>
  <si>
    <t>MICHOACÁN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</si>
  <si>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</si>
  <si>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</si>
  <si>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</si>
  <si>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</si>
  <si>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</si>
  <si>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</si>
  <si>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</si>
  <si>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</si>
  <si>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</si>
  <si>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</si>
  <si>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</si>
  <si>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QUERÉTARO</t>
  </si>
  <si>
    <t>23</t>
  </si>
  <si>
    <t>QUINTANA ROO</t>
  </si>
  <si>
    <t>24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</si>
  <si>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</si>
  <si>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</si>
  <si>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</si>
  <si>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</si>
  <si>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</si>
  <si>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</si>
  <si>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</si>
  <si>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</si>
  <si>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</si>
  <si>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</si>
  <si>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</si>
  <si>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</si>
  <si>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</t>
  </si>
  <si>
    <t>31</t>
  </si>
  <si>
    <t>YUCATÁN</t>
  </si>
  <si>
    <t>32</t>
  </si>
  <si>
    <t>ZACATECAS</t>
  </si>
  <si>
    <t>Total Nacional</t>
  </si>
  <si>
    <t>Tendencia observada</t>
  </si>
  <si>
    <t>Tendencia estimada</t>
  </si>
  <si>
    <t>Porcentaje del gasto del FASSA que se destina a proveer atención directa a la persona, a través del otorgamiento de atención médica en los diferentes niveles de atención. Incluye la atención preventiva, diagnóstico, tratamiento y rehabilitación, así como la atención de urgencias en todos los niveles a cargo de personal médico y paramedico.</t>
  </si>
  <si>
    <t>Cociente entre el Gasto ejercido en la subfunción de Prestación de Servicios de Salud a la Persona y el Gasto Total del FASSA por cien.</t>
  </si>
  <si>
    <t>Oscar</t>
  </si>
  <si>
    <t>Santiago</t>
  </si>
  <si>
    <t>Salinas</t>
  </si>
  <si>
    <t>Subdirector de Información de Recursos Financieros</t>
  </si>
  <si>
    <t>oscar.salinas@salud.gob.mx</t>
  </si>
  <si>
    <t>Gasto en la Prestación de Servicios de Salud a la Persona</t>
  </si>
  <si>
    <t>Miles de pesos</t>
  </si>
  <si>
    <t>Gasto Total del FASSA</t>
  </si>
  <si>
    <t>Gasto ejercido en el FASSA</t>
  </si>
  <si>
    <t>Actividad</t>
  </si>
  <si>
    <t>Indicador nuevo</t>
  </si>
  <si>
    <t>Gasto en Prestación de Servicios de Salud a la Comunidad como porcentaje del Gasto Total del FASSA.</t>
  </si>
  <si>
    <t>Porcentaje del gasto del Fondo de Aportaciones para los Servicios de Salud, que destina al 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</si>
  <si>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Cociente entre el gasto en la Prestación de Servicios de Salud a la Comunidad y el Gasto Total (ambos del FASSA), por cien.</t>
  </si>
  <si>
    <t>Carlos</t>
  </si>
  <si>
    <t>DIRS</t>
  </si>
  <si>
    <t>oscar.santiago@salud.gob.mx</t>
  </si>
  <si>
    <t>Prestación de Servicios de Salud a la Comunidad</t>
  </si>
  <si>
    <t>Entidad Federativa</t>
  </si>
  <si>
    <t>El indicador permite observar el porcentaje del gasto del FASSA que se destina a la Prestación de Servicios de Salud a la Comunidad.</t>
  </si>
  <si>
    <t>Es el último dato disponible.</t>
  </si>
  <si>
    <t>absoluto</t>
  </si>
  <si>
    <t>Registro administrativo de los servicios estatales de salud</t>
  </si>
  <si>
    <t>La información definitiva se obtiene ocho meses después del cierre del ejercicio fiscal</t>
  </si>
  <si>
    <t>Sistema de Cuentas en Salud a Nivel federal y Estatal en Salud (SICUENTAS). Disponible en: www.sinais.salud.gob.mx</t>
  </si>
  <si>
    <t>Gasto ejercido en la prestación de servicios de salud a la persona</t>
  </si>
  <si>
    <t>El indicador permite observar el porcentaje del gasto del FASSA que se destina a la prestación de servicios de salud a la persona. Este indicador es nacional, por lo tanto no existen referencias internacionales.</t>
  </si>
  <si>
    <t>Componente</t>
  </si>
  <si>
    <t>Gasto destinado a la prestación de servicios de salud a la persona como porcentaje del gasto total del FASSA</t>
  </si>
  <si>
    <t>(A/B)*100</t>
  </si>
  <si>
    <t>Gasto ejercido en la prestación de servicios de salud a la comunidad</t>
  </si>
  <si>
    <t>ENTIDAD FEDERATIVA</t>
  </si>
  <si>
    <t>(miles de pesos)</t>
  </si>
  <si>
    <t>Por Entidad Federativa  2009 a 2018</t>
  </si>
  <si>
    <t>Presupuesto Total Asignado en Salud del Ramo 33 (FASSA)</t>
  </si>
  <si>
    <t>SUBFUNCIÓN 2</t>
  </si>
  <si>
    <t>Prestación de Servicios de Salud a la Persona</t>
  </si>
  <si>
    <t>Gasto destinado a la Prestación de Servicios de Salud a la Persona como porcentaje del gasto total del FASSA</t>
  </si>
  <si>
    <t>PORCENTAJE</t>
  </si>
  <si>
    <t>SUBFUNCIÓN 1</t>
  </si>
  <si>
    <t>Gasto en Prestación de Servicios de Salud a la Comunidad como porcentaje del gasto total del FASSA</t>
  </si>
  <si>
    <t>anual</t>
  </si>
  <si>
    <t>Diciembre</t>
  </si>
  <si>
    <t>Umbral amarillo-rojo</t>
  </si>
  <si>
    <t>diciembre</t>
  </si>
  <si>
    <t>Porcentaje aplicado por Subfunción de acuerdo a solicitud de la DGPOP</t>
  </si>
  <si>
    <t>Comunidad</t>
  </si>
  <si>
    <t xml:space="preserve">Persona </t>
  </si>
  <si>
    <t xml:space="preserve">Generación </t>
  </si>
  <si>
    <t xml:space="preserve">Rectoría </t>
  </si>
  <si>
    <t>SF1</t>
  </si>
  <si>
    <t>SF2</t>
  </si>
  <si>
    <t>SF3</t>
  </si>
  <si>
    <t>SF4</t>
  </si>
  <si>
    <t>Felipe G.</t>
  </si>
  <si>
    <t>Morales</t>
  </si>
  <si>
    <t>López</t>
  </si>
  <si>
    <t>Dirección General de Programación, Organización y Presupuesto</t>
  </si>
  <si>
    <t>Dirección de Integración Programática Presupuestal</t>
  </si>
  <si>
    <t>felipe.moralesl@salud.gob.mx</t>
  </si>
  <si>
    <t>50 62 16 00</t>
  </si>
  <si>
    <t>Margarita G.</t>
  </si>
  <si>
    <t>Gutiérrrez</t>
  </si>
  <si>
    <t>Cuartero</t>
  </si>
  <si>
    <t>Subdirectora de Programación Presupuestación</t>
  </si>
  <si>
    <t>margarita.gutierrez@salud.gob.mx</t>
  </si>
  <si>
    <r>
      <rPr>
        <b/>
        <sz val="11"/>
        <color theme="1"/>
        <rFont val="Soberana Sans"/>
        <family val="3"/>
      </rPr>
      <t>19.6 %</t>
    </r>
    <r>
      <rPr>
        <sz val="11"/>
        <color theme="1"/>
        <rFont val="Soberana Sans"/>
        <family val="3"/>
      </rPr>
      <t xml:space="preserve"> 
</t>
    </r>
  </si>
  <si>
    <t>52 08 20 77</t>
  </si>
  <si>
    <r>
      <rPr>
        <b/>
        <sz val="11"/>
        <color theme="1"/>
        <rFont val="Soberana Sans"/>
        <family val="3"/>
      </rPr>
      <t xml:space="preserve">Nota: 
</t>
    </r>
    <r>
      <rPr>
        <sz val="11"/>
        <color theme="1"/>
        <rFont val="Soberana Sans"/>
        <family val="3"/>
      </rPr>
      <t>Las metas establecidas de 2009 a 2012 responde a la tendencia observada.
De 2013 a 2018, se busca llegar al porcentaje establecido por la DGPOP para 2018, en cada una de las Subfunciones, que en este caso es la SF2 "Prestación de Servicios de Salud a la Persona"</t>
    </r>
  </si>
  <si>
    <r>
      <rPr>
        <b/>
        <sz val="11"/>
        <color theme="1"/>
        <rFont val="Soberana Sans"/>
        <family val="3"/>
      </rPr>
      <t xml:space="preserve">Nota: 
</t>
    </r>
    <r>
      <rPr>
        <sz val="11"/>
        <color theme="1"/>
        <rFont val="Soberana Sans"/>
        <family val="3"/>
      </rPr>
      <t>Las metas establecidas de 2009 a 2012 responde a la tendencia observada.
De 2013 a 2018, se busca llegar al porcentaje establecido por la DGPOP para 2018 en cada una de las Subfunciones, que en este caso es la SF1 "Prestación de Servicios de Salud a la Comunidad"</t>
    </r>
  </si>
  <si>
    <t>Por Entidad Entidad Federativa,  2009 a 2018</t>
  </si>
  <si>
    <t>Indicador de Gasto destinado a la Prestación de Servicios de Salud a la Persona como porcentaje del gasto total del FASSA</t>
  </si>
  <si>
    <t>Indicador Gasto en Prestación de Servicios de Salud a la Comunidad como porcentaje del gasto total del FASSA</t>
  </si>
  <si>
    <t>EF</t>
  </si>
  <si>
    <t>2009 DGIS</t>
  </si>
  <si>
    <t>2010 DGIS</t>
  </si>
  <si>
    <t>2011 DGIS</t>
  </si>
  <si>
    <t>2012 DGIS</t>
  </si>
  <si>
    <t>2013 DGIS</t>
  </si>
  <si>
    <t>2014 DGIS</t>
  </si>
  <si>
    <t>2015 DGIS</t>
  </si>
  <si>
    <t xml:space="preserve">PEF 2009 </t>
  </si>
  <si>
    <t xml:space="preserve">TOTAL NACIONAL </t>
  </si>
  <si>
    <t xml:space="preserve">PEF 2010 </t>
  </si>
  <si>
    <t xml:space="preserve">PEF 2011 </t>
  </si>
  <si>
    <t xml:space="preserve">PEF 2012 </t>
  </si>
  <si>
    <t xml:space="preserve">PEF 2013 </t>
  </si>
  <si>
    <t xml:space="preserve">PEF 2014 </t>
  </si>
  <si>
    <t xml:space="preserve">PEF 2015 </t>
  </si>
  <si>
    <t>2009 -2015</t>
  </si>
  <si>
    <t>DGIS</t>
  </si>
  <si>
    <r>
      <t xml:space="preserve">
</t>
    </r>
    <r>
      <rPr>
        <b/>
        <sz val="11"/>
        <color theme="1"/>
        <rFont val="Soberana Sans"/>
        <family val="3"/>
      </rPr>
      <t>64,793,133.66</t>
    </r>
  </si>
  <si>
    <t>Diferencia</t>
  </si>
  <si>
    <t>$</t>
  </si>
  <si>
    <t>%</t>
  </si>
  <si>
    <t>Años 2009 a 2013</t>
  </si>
  <si>
    <t>Por Entidad Federativa,  2009 a 2018</t>
  </si>
  <si>
    <t>PREUSPUESTO EJERCIDO (NUMERADOR)</t>
  </si>
  <si>
    <t xml:space="preserve">PRESUPUESTO TOTAL ASIGNADO </t>
  </si>
  <si>
    <t>(DENOMINADOR)</t>
  </si>
  <si>
    <t>OK</t>
  </si>
  <si>
    <t>ESTIMACIÓN CON BASE EN 2015</t>
  </si>
  <si>
    <t xml:space="preserve">DIFERENTES, CHECAR CUADRO DE DATOS 2009 A 2015 </t>
  </si>
  <si>
    <t>PRESUPUESTO EJERCIDO (NUMERADOR)</t>
  </si>
  <si>
    <t>PRESUPUESTO ASIGNADO  (DENOMINADOR)</t>
  </si>
  <si>
    <t>Años</t>
  </si>
  <si>
    <t>Nota:</t>
  </si>
  <si>
    <t>1/ Datos tomados de los Decreto de Presupuesto de Egresos de la Federaciópn de los años 2009, al 2015</t>
  </si>
  <si>
    <r>
      <t>PEF</t>
    </r>
    <r>
      <rPr>
        <b/>
        <vertAlign val="superscript"/>
        <sz val="11"/>
        <rFont val="Calibri"/>
        <family val="2"/>
        <scheme val="minor"/>
      </rPr>
      <t>1</t>
    </r>
  </si>
  <si>
    <t>Estimaciones de la DGIS</t>
  </si>
  <si>
    <t xml:space="preserve">PRESUPUESTOS DE EGRESOS DE LA FEDERACIÓN </t>
  </si>
  <si>
    <t>Presupuesto Estimado con base de 2015 por la DGIS</t>
  </si>
  <si>
    <t xml:space="preserve">PRESUPUESTOS DIFERENTES, CHECAR CUADRO DE DATOS 2009 A 2015 </t>
  </si>
  <si>
    <t xml:space="preserve">DGIS DEBERÁ INGRESAR EL NUMERADOR Y LA META </t>
  </si>
  <si>
    <t>DGIS DEBERÁ ACTUALIZAR CUADROS DEL PRESUPUESTO EJERCIDO</t>
  </si>
  <si>
    <t>DGIS DEBERÁ Considerar la actualización de las cifras que están en la pestaña  PEF 2009- 2015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</si>
</sst>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0.0000000000"/>
    <numFmt numFmtId="166" formatCode="0.0000"/>
    <numFmt numFmtId="167" formatCode="#,##0.000000_ ;\-#,##0.000000\ "/>
    <numFmt numFmtId="168" formatCode="#,##0.00_ ;[Red]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theme="1"/>
      <name val="Soberana Sans"/>
      <family val="3"/>
    </font>
    <font>
      <b/>
      <sz val="11"/>
      <color theme="1"/>
      <name val="Soberana Sans"/>
      <family val="3"/>
    </font>
    <font>
      <b/>
      <sz val="11"/>
      <color rgb="FF00B0F0"/>
      <name val="Soberana Sans"/>
      <family val="3"/>
    </font>
    <font>
      <b/>
      <sz val="11"/>
      <name val="Soberana Sans"/>
      <family val="3"/>
    </font>
    <font>
      <sz val="11"/>
      <color rgb="FF00B0F0"/>
      <name val="Soberana Sans"/>
      <family val="3"/>
    </font>
    <font>
      <b/>
      <sz val="10"/>
      <color theme="1"/>
      <name val="Soberana Sans"/>
      <family val="3"/>
    </font>
    <font>
      <b/>
      <sz val="12"/>
      <color theme="1"/>
      <name val="Soberana Sans"/>
      <family val="3"/>
    </font>
    <font>
      <b/>
      <sz val="11"/>
      <color rgb="FFFF0000"/>
      <name val="Soberana Sans"/>
      <family val="3"/>
    </font>
    <font>
      <b/>
      <sz val="15"/>
      <color theme="1"/>
      <name val="Soberana Sans"/>
      <family val="3"/>
    </font>
    <font>
      <b/>
      <sz val="17"/>
      <color theme="1"/>
      <name val="Soberana Sans"/>
      <family val="3"/>
    </font>
    <font>
      <sz val="11"/>
      <name val="Soberana Sans"/>
      <family val="3"/>
    </font>
    <font>
      <u/>
      <sz val="11"/>
      <color theme="10"/>
      <name val="Soberana Sans"/>
      <family val="3"/>
    </font>
    <font>
      <b/>
      <sz val="10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Soberana Sans"/>
      <family val="3"/>
    </font>
    <font>
      <b/>
      <sz val="12"/>
      <color rgb="FFFF0000"/>
      <name val="Soberana Sans"/>
      <family val="3"/>
    </font>
    <font>
      <sz val="16"/>
      <color theme="1"/>
      <name val="Soberana Sans"/>
      <family val="3"/>
    </font>
    <font>
      <b/>
      <sz val="7.5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28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Fill="1"/>
    <xf numFmtId="164" fontId="10" fillId="0" borderId="0" xfId="0" applyNumberFormat="1" applyFont="1" applyFill="1"/>
    <xf numFmtId="164" fontId="6" fillId="0" borderId="5" xfId="0" applyNumberFormat="1" applyFont="1" applyBorder="1"/>
    <xf numFmtId="0" fontId="6" fillId="0" borderId="5" xfId="0" applyFont="1" applyBorder="1"/>
    <xf numFmtId="0" fontId="11" fillId="0" borderId="0" xfId="0" applyFont="1"/>
    <xf numFmtId="0" fontId="12" fillId="0" borderId="0" xfId="0" applyFont="1"/>
    <xf numFmtId="0" fontId="12" fillId="6" borderId="5" xfId="0" applyFont="1" applyFill="1" applyBorder="1"/>
    <xf numFmtId="4" fontId="6" fillId="0" borderId="5" xfId="0" applyNumberFormat="1" applyFont="1" applyBorder="1"/>
    <xf numFmtId="43" fontId="6" fillId="0" borderId="5" xfId="1" applyFont="1" applyBorder="1"/>
    <xf numFmtId="0" fontId="6" fillId="0" borderId="0" xfId="0" applyFont="1" applyFill="1"/>
    <xf numFmtId="0" fontId="6" fillId="0" borderId="0" xfId="0" applyFont="1" applyFill="1" applyBorder="1"/>
    <xf numFmtId="164" fontId="7" fillId="0" borderId="0" xfId="0" applyNumberFormat="1" applyFont="1" applyAlignment="1">
      <alignment horizontal="center"/>
    </xf>
    <xf numFmtId="4" fontId="6" fillId="0" borderId="0" xfId="0" applyNumberFormat="1" applyFont="1" applyFill="1" applyBorder="1"/>
    <xf numFmtId="164" fontId="6" fillId="0" borderId="0" xfId="0" applyNumberFormat="1" applyFont="1" applyAlignment="1">
      <alignment horizontal="center"/>
    </xf>
    <xf numFmtId="43" fontId="7" fillId="0" borderId="0" xfId="1" applyFont="1" applyFill="1" applyBorder="1"/>
    <xf numFmtId="165" fontId="6" fillId="0" borderId="0" xfId="0" applyNumberFormat="1" applyFont="1" applyFill="1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" fontId="7" fillId="0" borderId="0" xfId="0" applyNumberFormat="1" applyFont="1"/>
    <xf numFmtId="1" fontId="6" fillId="0" borderId="0" xfId="0" applyNumberFormat="1" applyFont="1"/>
    <xf numFmtId="4" fontId="12" fillId="0" borderId="0" xfId="0" applyNumberFormat="1" applyFont="1" applyFill="1" applyBorder="1"/>
    <xf numFmtId="4" fontId="12" fillId="0" borderId="0" xfId="0" applyNumberFormat="1" applyFont="1"/>
    <xf numFmtId="1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1" fontId="6" fillId="0" borderId="0" xfId="0" applyNumberFormat="1" applyFont="1" applyFill="1" applyBorder="1"/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Fill="1"/>
    <xf numFmtId="2" fontId="6" fillId="0" borderId="5" xfId="0" applyNumberFormat="1" applyFont="1" applyBorder="1"/>
    <xf numFmtId="43" fontId="6" fillId="0" borderId="0" xfId="0" applyNumberFormat="1" applyFont="1" applyFill="1"/>
    <xf numFmtId="167" fontId="6" fillId="0" borderId="0" xfId="0" applyNumberFormat="1" applyFont="1" applyFill="1"/>
    <xf numFmtId="164" fontId="6" fillId="0" borderId="0" xfId="0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7" fillId="0" borderId="4" xfId="0" applyFont="1" applyBorder="1" applyAlignment="1">
      <alignment wrapText="1"/>
    </xf>
    <xf numFmtId="0" fontId="6" fillId="0" borderId="4" xfId="0" applyFont="1" applyBorder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6" xfId="0" applyFont="1" applyBorder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/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/>
    </xf>
    <xf numFmtId="43" fontId="6" fillId="0" borderId="5" xfId="1" applyFont="1" applyFill="1" applyBorder="1"/>
    <xf numFmtId="3" fontId="0" fillId="0" borderId="0" xfId="0" applyNumberFormat="1"/>
    <xf numFmtId="3" fontId="18" fillId="8" borderId="16" xfId="0" applyNumberFormat="1" applyFont="1" applyFill="1" applyBorder="1"/>
    <xf numFmtId="4" fontId="6" fillId="0" borderId="0" xfId="0" applyNumberFormat="1" applyFont="1"/>
    <xf numFmtId="0" fontId="6" fillId="0" borderId="5" xfId="0" applyFont="1" applyFill="1" applyBorder="1"/>
    <xf numFmtId="0" fontId="6" fillId="0" borderId="5" xfId="0" applyFont="1" applyBorder="1" applyAlignment="1">
      <alignment horizontal="center"/>
    </xf>
    <xf numFmtId="2" fontId="7" fillId="0" borderId="0" xfId="0" applyNumberFormat="1" applyFont="1" applyFill="1" applyBorder="1"/>
    <xf numFmtId="164" fontId="7" fillId="0" borderId="17" xfId="0" applyNumberFormat="1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5" xfId="0" applyFont="1" applyFill="1" applyBorder="1"/>
    <xf numFmtId="0" fontId="6" fillId="0" borderId="5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4" fontId="20" fillId="5" borderId="5" xfId="0" applyNumberFormat="1" applyFont="1" applyFill="1" applyBorder="1"/>
    <xf numFmtId="4" fontId="20" fillId="10" borderId="5" xfId="0" applyNumberFormat="1" applyFont="1" applyFill="1" applyBorder="1"/>
    <xf numFmtId="0" fontId="21" fillId="0" borderId="0" xfId="0" applyFont="1" applyAlignment="1">
      <alignment horizontal="left"/>
    </xf>
    <xf numFmtId="0" fontId="22" fillId="0" borderId="0" xfId="0" applyFont="1" applyAlignment="1"/>
    <xf numFmtId="0" fontId="22" fillId="0" borderId="15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4" fontId="20" fillId="0" borderId="5" xfId="0" applyNumberFormat="1" applyFont="1" applyBorder="1"/>
    <xf numFmtId="168" fontId="20" fillId="0" borderId="5" xfId="0" applyNumberFormat="1" applyFont="1" applyBorder="1"/>
    <xf numFmtId="0" fontId="20" fillId="0" borderId="5" xfId="0" applyFont="1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12" fillId="9" borderId="5" xfId="0" applyFont="1" applyFill="1" applyBorder="1" applyAlignment="1">
      <alignment horizontal="center" vertical="center" wrapText="1"/>
    </xf>
    <xf numFmtId="43" fontId="7" fillId="9" borderId="5" xfId="1" applyFont="1" applyFill="1" applyBorder="1"/>
    <xf numFmtId="43" fontId="7" fillId="9" borderId="5" xfId="1" applyFont="1" applyFill="1" applyBorder="1" applyAlignment="1">
      <alignment horizontal="right"/>
    </xf>
    <xf numFmtId="0" fontId="12" fillId="9" borderId="5" xfId="0" applyFont="1" applyFill="1" applyBorder="1"/>
    <xf numFmtId="43" fontId="12" fillId="9" borderId="5" xfId="1" applyFont="1" applyFill="1" applyBorder="1"/>
    <xf numFmtId="0" fontId="11" fillId="9" borderId="5" xfId="0" applyFont="1" applyFill="1" applyBorder="1" applyAlignment="1">
      <alignment horizontal="center" vertical="center" wrapText="1"/>
    </xf>
    <xf numFmtId="164" fontId="7" fillId="9" borderId="5" xfId="0" applyNumberFormat="1" applyFont="1" applyFill="1" applyBorder="1"/>
    <xf numFmtId="43" fontId="7" fillId="9" borderId="5" xfId="0" applyNumberFormat="1" applyFont="1" applyFill="1" applyBorder="1"/>
    <xf numFmtId="43" fontId="9" fillId="9" borderId="5" xfId="0" applyNumberFormat="1" applyFont="1" applyFill="1" applyBorder="1"/>
    <xf numFmtId="0" fontId="24" fillId="0" borderId="0" xfId="0" applyFont="1"/>
    <xf numFmtId="4" fontId="6" fillId="5" borderId="5" xfId="0" applyNumberFormat="1" applyFont="1" applyFill="1" applyBorder="1"/>
    <xf numFmtId="0" fontId="7" fillId="11" borderId="0" xfId="0" applyFont="1" applyFill="1" applyBorder="1" applyAlignment="1">
      <alignment horizontal="center"/>
    </xf>
    <xf numFmtId="164" fontId="7" fillId="11" borderId="0" xfId="0" applyNumberFormat="1" applyFont="1" applyFill="1" applyBorder="1"/>
    <xf numFmtId="43" fontId="7" fillId="11" borderId="0" xfId="0" applyNumberFormat="1" applyFont="1" applyFill="1" applyBorder="1"/>
    <xf numFmtId="43" fontId="9" fillId="11" borderId="0" xfId="0" applyNumberFormat="1" applyFont="1" applyFill="1" applyBorder="1"/>
    <xf numFmtId="0" fontId="8" fillId="11" borderId="0" xfId="0" applyFont="1" applyFill="1"/>
    <xf numFmtId="0" fontId="7" fillId="11" borderId="0" xfId="0" applyFont="1" applyFill="1"/>
    <xf numFmtId="0" fontId="7" fillId="0" borderId="0" xfId="0" applyFont="1" applyAlignment="1">
      <alignment vertical="center"/>
    </xf>
    <xf numFmtId="0" fontId="25" fillId="0" borderId="0" xfId="0" applyFont="1" applyFill="1"/>
    <xf numFmtId="164" fontId="23" fillId="0" borderId="0" xfId="0" applyNumberFormat="1" applyFont="1" applyAlignment="1">
      <alignment horizontal="center"/>
    </xf>
    <xf numFmtId="164" fontId="7" fillId="5" borderId="5" xfId="0" applyNumberFormat="1" applyFont="1" applyFill="1" applyBorder="1"/>
    <xf numFmtId="4" fontId="7" fillId="9" borderId="5" xfId="0" applyNumberFormat="1" applyFont="1" applyFill="1" applyBorder="1"/>
    <xf numFmtId="0" fontId="12" fillId="9" borderId="10" xfId="0" applyFont="1" applyFill="1" applyBorder="1" applyAlignment="1">
      <alignment horizontal="center" vertical="center" wrapText="1"/>
    </xf>
    <xf numFmtId="2" fontId="7" fillId="9" borderId="5" xfId="0" applyNumberFormat="1" applyFont="1" applyFill="1" applyBorder="1"/>
    <xf numFmtId="0" fontId="7" fillId="5" borderId="0" xfId="0" applyFont="1" applyFill="1"/>
    <xf numFmtId="0" fontId="19" fillId="11" borderId="5" xfId="0" applyFont="1" applyFill="1" applyBorder="1" applyAlignment="1">
      <alignment horizontal="center"/>
    </xf>
    <xf numFmtId="0" fontId="19" fillId="11" borderId="5" xfId="0" applyFont="1" applyFill="1" applyBorder="1"/>
    <xf numFmtId="4" fontId="19" fillId="11" borderId="5" xfId="0" applyNumberFormat="1" applyFont="1" applyFill="1" applyBorder="1"/>
    <xf numFmtId="4" fontId="19" fillId="11" borderId="5" xfId="0" applyNumberFormat="1" applyFont="1" applyFill="1" applyBorder="1" applyAlignment="1">
      <alignment horizontal="right"/>
    </xf>
    <xf numFmtId="4" fontId="20" fillId="9" borderId="5" xfId="0" applyNumberFormat="1" applyFont="1" applyFill="1" applyBorder="1" applyAlignment="1">
      <alignment horizontal="right"/>
    </xf>
    <xf numFmtId="0" fontId="27" fillId="9" borderId="5" xfId="0" applyFont="1" applyFill="1" applyBorder="1" applyAlignment="1">
      <alignment horizontal="center"/>
    </xf>
    <xf numFmtId="0" fontId="26" fillId="9" borderId="5" xfId="0" applyFont="1" applyFill="1" applyBorder="1" applyAlignment="1">
      <alignment horizontal="center"/>
    </xf>
    <xf numFmtId="0" fontId="20" fillId="9" borderId="5" xfId="0" applyFont="1" applyFill="1" applyBorder="1" applyAlignment="1">
      <alignment horizontal="center"/>
    </xf>
    <xf numFmtId="43" fontId="19" fillId="0" borderId="5" xfId="1" applyFont="1" applyBorder="1"/>
    <xf numFmtId="0" fontId="0" fillId="5" borderId="5" xfId="0" applyFill="1" applyBorder="1"/>
    <xf numFmtId="4" fontId="20" fillId="5" borderId="5" xfId="0" applyNumberFormat="1" applyFont="1" applyFill="1" applyBorder="1" applyAlignment="1">
      <alignment horizontal="right"/>
    </xf>
    <xf numFmtId="4" fontId="20" fillId="9" borderId="5" xfId="0" applyNumberFormat="1" applyFont="1" applyFill="1" applyBorder="1"/>
    <xf numFmtId="43" fontId="19" fillId="5" borderId="5" xfId="1" applyFont="1" applyFill="1" applyBorder="1"/>
    <xf numFmtId="2" fontId="7" fillId="5" borderId="5" xfId="0" applyNumberFormat="1" applyFont="1" applyFill="1" applyBorder="1"/>
    <xf numFmtId="0" fontId="6" fillId="5" borderId="4" xfId="0" applyFont="1" applyFill="1" applyBorder="1"/>
    <xf numFmtId="15" fontId="6" fillId="5" borderId="5" xfId="0" applyNumberFormat="1" applyFont="1" applyFill="1" applyBorder="1" applyAlignment="1">
      <alignment vertical="center" wrapText="1"/>
    </xf>
    <xf numFmtId="0" fontId="6" fillId="5" borderId="0" xfId="0" applyFont="1" applyFill="1"/>
    <xf numFmtId="0" fontId="12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6" fillId="5" borderId="7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14" fontId="6" fillId="5" borderId="5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center" wrapText="1"/>
    </xf>
    <xf numFmtId="0" fontId="17" fillId="0" borderId="7" xfId="2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top"/>
    </xf>
    <xf numFmtId="0" fontId="17" fillId="0" borderId="5" xfId="2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17" fillId="0" borderId="7" xfId="2" applyFont="1" applyBorder="1" applyAlignment="1">
      <alignment horizontal="center" vertical="top"/>
    </xf>
    <xf numFmtId="0" fontId="17" fillId="0" borderId="5" xfId="2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6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17" fillId="0" borderId="5" xfId="2" applyFont="1" applyBorder="1" applyAlignment="1" applyProtection="1">
      <alignment horizontal="center"/>
    </xf>
    <xf numFmtId="0" fontId="6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7" fillId="0" borderId="7" xfId="2" applyFont="1" applyBorder="1" applyAlignment="1" applyProtection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7" xfId="0" applyFont="1" applyBorder="1" applyAlignment="1">
      <alignment horizontal="right"/>
    </xf>
    <xf numFmtId="0" fontId="22" fillId="0" borderId="8" xfId="0" applyFont="1" applyBorder="1" applyAlignment="1">
      <alignment horizontal="right"/>
    </xf>
    <xf numFmtId="0" fontId="22" fillId="0" borderId="10" xfId="0" applyFont="1" applyBorder="1" applyAlignment="1">
      <alignment horizontal="right"/>
    </xf>
    <xf numFmtId="0" fontId="0" fillId="5" borderId="5" xfId="0" applyFill="1" applyBorder="1" applyAlignment="1">
      <alignment horizontal="center"/>
    </xf>
    <xf numFmtId="0" fontId="31" fillId="0" borderId="0" xfId="0" applyFont="1" applyAlignment="1">
      <alignment horizontal="left"/>
    </xf>
    <xf numFmtId="0" fontId="26" fillId="9" borderId="7" xfId="0" applyFont="1" applyFill="1" applyBorder="1" applyAlignment="1">
      <alignment horizontal="center"/>
    </xf>
    <xf numFmtId="0" fontId="26" fillId="9" borderId="10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22" fillId="0" borderId="15" xfId="0" applyFont="1" applyBorder="1" applyAlignment="1">
      <alignment horizontal="left"/>
    </xf>
    <xf numFmtId="0" fontId="27" fillId="9" borderId="5" xfId="0" applyFont="1" applyFill="1" applyBorder="1" applyAlignment="1">
      <alignment horizontal="center"/>
    </xf>
    <xf numFmtId="0" fontId="27" fillId="9" borderId="22" xfId="0" applyFont="1" applyFill="1" applyBorder="1" applyAlignment="1">
      <alignment horizontal="center" vertical="center"/>
    </xf>
    <xf numFmtId="0" fontId="27" fillId="9" borderId="23" xfId="0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horizontal="center" vertical="center"/>
    </xf>
    <xf numFmtId="0" fontId="29" fillId="9" borderId="23" xfId="0" applyFont="1" applyFill="1" applyBorder="1" applyAlignment="1">
      <alignment horizontal="center" vertical="center"/>
    </xf>
  </cellXfs>
  <cellStyles count="8">
    <cellStyle name="20% - Énfasis1 2" xfId="3"/>
    <cellStyle name="Hipervínculo" xfId="2" builtinId="8"/>
    <cellStyle name="Hipervínculo 2" xfId="6"/>
    <cellStyle name="Millares" xfId="1" builtinId="3"/>
    <cellStyle name="Millares 2" xfId="7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colors>
    <mruColors>
      <color rgb="FFFFDF7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1409700</xdr:colOff>
      <xdr:row>3</xdr:row>
      <xdr:rowOff>42182</xdr:rowOff>
    </xdr:to>
    <xdr:pic>
      <xdr:nvPicPr>
        <xdr:cNvPr id="2" name="1 Imagen" descr="C:\AppServ\www\estado1\Imagenes\logosalud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76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1476376</xdr:colOff>
      <xdr:row>3</xdr:row>
      <xdr:rowOff>19050</xdr:rowOff>
    </xdr:to>
    <xdr:pic>
      <xdr:nvPicPr>
        <xdr:cNvPr id="2" name="1 Imagen" descr="C:\AppServ\www\estado1\Imagenes\logosalud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352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lipe.moralesl@salud.gob.mx" TargetMode="External"/><Relationship Id="rId2" Type="http://schemas.openxmlformats.org/officeDocument/2006/relationships/hyperlink" Target="mailto:oscar.salinas@salud.gob.mx" TargetMode="External"/><Relationship Id="rId1" Type="http://schemas.openxmlformats.org/officeDocument/2006/relationships/hyperlink" Target="mailto:carlos.sosa@salud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rgarita.gutierrez@salud.gob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elipe.moralesl@salud.gob.mx" TargetMode="External"/><Relationship Id="rId2" Type="http://schemas.openxmlformats.org/officeDocument/2006/relationships/hyperlink" Target="mailto:oscar.santiago@salud.gob.mx" TargetMode="External"/><Relationship Id="rId1" Type="http://schemas.openxmlformats.org/officeDocument/2006/relationships/hyperlink" Target="mailto:carlos.sosa@salud.gob.m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margarita.gutierrez@salud.gob.m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BreakPreview" topLeftCell="A25" zoomScale="110" zoomScaleNormal="100" zoomScaleSheetLayoutView="110" workbookViewId="0">
      <selection activeCell="M39" sqref="M39"/>
    </sheetView>
  </sheetViews>
  <sheetFormatPr baseColWidth="10" defaultRowHeight="15.75" x14ac:dyDescent="0.25"/>
  <cols>
    <col min="1" max="1" width="11.42578125" style="1"/>
    <col min="2" max="2" width="12.85546875" style="1" customWidth="1"/>
    <col min="3" max="3" width="14.28515625" style="1" customWidth="1"/>
    <col min="4" max="4" width="11.42578125" style="1"/>
    <col min="5" max="5" width="11.28515625" style="1" customWidth="1"/>
    <col min="6" max="6" width="12.5703125" style="1" customWidth="1"/>
    <col min="7" max="7" width="13.7109375" style="1" customWidth="1"/>
    <col min="8" max="10" width="11.42578125" style="1"/>
    <col min="11" max="11" width="13.42578125" style="1" customWidth="1"/>
    <col min="12" max="16384" width="11.42578125" style="1"/>
  </cols>
  <sheetData>
    <row r="1" spans="1:12" ht="16.5" x14ac:dyDescent="0.3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8"/>
    </row>
    <row r="2" spans="1:12" ht="16.5" x14ac:dyDescent="0.3">
      <c r="A2" s="173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5"/>
    </row>
    <row r="3" spans="1:12" ht="16.5" x14ac:dyDescent="0.3">
      <c r="A3" s="203" t="s">
        <v>2</v>
      </c>
      <c r="B3" s="204"/>
      <c r="C3" s="187" t="s">
        <v>3</v>
      </c>
      <c r="D3" s="188"/>
      <c r="E3" s="188"/>
      <c r="F3" s="188"/>
      <c r="G3" s="188"/>
      <c r="H3" s="188"/>
      <c r="I3" s="188"/>
      <c r="J3" s="188"/>
      <c r="K3" s="188"/>
      <c r="L3" s="189"/>
    </row>
    <row r="4" spans="1:12" ht="16.5" x14ac:dyDescent="0.3">
      <c r="A4" s="203" t="s">
        <v>4</v>
      </c>
      <c r="B4" s="204"/>
      <c r="C4" s="187" t="s">
        <v>5</v>
      </c>
      <c r="D4" s="188"/>
      <c r="E4" s="188"/>
      <c r="F4" s="188"/>
      <c r="G4" s="188"/>
      <c r="H4" s="188"/>
      <c r="I4" s="188"/>
      <c r="J4" s="188"/>
      <c r="K4" s="188"/>
      <c r="L4" s="189"/>
    </row>
    <row r="5" spans="1:12" ht="16.5" x14ac:dyDescent="0.3">
      <c r="A5" s="173" t="s">
        <v>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5"/>
    </row>
    <row r="6" spans="1:12" ht="16.5" x14ac:dyDescent="0.3">
      <c r="A6" s="203" t="s">
        <v>7</v>
      </c>
      <c r="B6" s="204"/>
      <c r="C6" s="215">
        <v>3</v>
      </c>
      <c r="D6" s="215"/>
      <c r="E6" s="215"/>
      <c r="F6" s="204" t="s">
        <v>8</v>
      </c>
      <c r="G6" s="204"/>
      <c r="H6" s="213" t="s">
        <v>188</v>
      </c>
      <c r="I6" s="213"/>
      <c r="J6" s="213"/>
      <c r="K6" s="213"/>
      <c r="L6" s="214"/>
    </row>
    <row r="7" spans="1:12" ht="16.5" x14ac:dyDescent="0.3">
      <c r="A7" s="203" t="s">
        <v>9</v>
      </c>
      <c r="B7" s="204"/>
      <c r="C7" s="213" t="s">
        <v>189</v>
      </c>
      <c r="D7" s="213"/>
      <c r="E7" s="213"/>
      <c r="F7" s="213"/>
      <c r="G7" s="213"/>
      <c r="H7" s="213"/>
      <c r="I7" s="213"/>
      <c r="J7" s="213"/>
      <c r="K7" s="213"/>
      <c r="L7" s="214"/>
    </row>
    <row r="8" spans="1:12" ht="35.25" customHeight="1" x14ac:dyDescent="0.3">
      <c r="A8" s="203" t="s">
        <v>10</v>
      </c>
      <c r="B8" s="204"/>
      <c r="C8" s="213" t="s">
        <v>11</v>
      </c>
      <c r="D8" s="213"/>
      <c r="E8" s="213"/>
      <c r="F8" s="204" t="s">
        <v>12</v>
      </c>
      <c r="G8" s="204"/>
      <c r="H8" s="213" t="s">
        <v>13</v>
      </c>
      <c r="I8" s="213"/>
      <c r="J8" s="213"/>
      <c r="K8" s="213"/>
      <c r="L8" s="214"/>
    </row>
    <row r="9" spans="1:12" ht="48.75" customHeight="1" x14ac:dyDescent="0.3">
      <c r="A9" s="203" t="s">
        <v>14</v>
      </c>
      <c r="B9" s="204"/>
      <c r="C9" s="213" t="s">
        <v>159</v>
      </c>
      <c r="D9" s="213"/>
      <c r="E9" s="213"/>
      <c r="F9" s="213"/>
      <c r="G9" s="213"/>
      <c r="H9" s="213"/>
      <c r="I9" s="213"/>
      <c r="J9" s="213"/>
      <c r="K9" s="213"/>
      <c r="L9" s="214"/>
    </row>
    <row r="10" spans="1:12" ht="37.5" customHeight="1" x14ac:dyDescent="0.25">
      <c r="A10" s="208" t="s">
        <v>15</v>
      </c>
      <c r="B10" s="209"/>
      <c r="C10" s="210" t="s">
        <v>160</v>
      </c>
      <c r="D10" s="211"/>
      <c r="E10" s="211"/>
      <c r="F10" s="211"/>
      <c r="G10" s="211"/>
      <c r="H10" s="211"/>
      <c r="I10" s="211"/>
      <c r="J10" s="211"/>
      <c r="K10" s="211"/>
      <c r="L10" s="212"/>
    </row>
    <row r="11" spans="1:12" ht="16.5" x14ac:dyDescent="0.3">
      <c r="A11" s="203" t="s">
        <v>16</v>
      </c>
      <c r="B11" s="204"/>
      <c r="C11" s="213" t="s">
        <v>190</v>
      </c>
      <c r="D11" s="213"/>
      <c r="E11" s="213"/>
      <c r="F11" s="213"/>
      <c r="G11" s="213"/>
      <c r="H11" s="213"/>
      <c r="I11" s="213"/>
      <c r="J11" s="213"/>
      <c r="K11" s="213"/>
      <c r="L11" s="214"/>
    </row>
    <row r="12" spans="1:12" ht="16.5" x14ac:dyDescent="0.3">
      <c r="A12" s="203" t="s">
        <v>17</v>
      </c>
      <c r="B12" s="204"/>
      <c r="C12" s="213" t="s">
        <v>18</v>
      </c>
      <c r="D12" s="213"/>
      <c r="E12" s="213"/>
      <c r="F12" s="213"/>
      <c r="G12" s="213"/>
      <c r="H12" s="213"/>
      <c r="I12" s="213"/>
      <c r="J12" s="213"/>
      <c r="K12" s="213"/>
      <c r="L12" s="214"/>
    </row>
    <row r="13" spans="1:12" ht="16.5" x14ac:dyDescent="0.3">
      <c r="A13" s="203" t="s">
        <v>19</v>
      </c>
      <c r="B13" s="204"/>
      <c r="C13" s="187" t="s">
        <v>20</v>
      </c>
      <c r="D13" s="188"/>
      <c r="E13" s="205"/>
      <c r="F13" s="204" t="s">
        <v>21</v>
      </c>
      <c r="G13" s="204"/>
      <c r="H13" s="178"/>
      <c r="I13" s="178"/>
      <c r="J13" s="178"/>
      <c r="K13" s="178"/>
      <c r="L13" s="179"/>
    </row>
    <row r="14" spans="1:12" ht="28.5" customHeight="1" x14ac:dyDescent="0.25">
      <c r="A14" s="206" t="s">
        <v>22</v>
      </c>
      <c r="B14" s="207"/>
      <c r="C14" s="187" t="s">
        <v>23</v>
      </c>
      <c r="D14" s="188"/>
      <c r="E14" s="188"/>
      <c r="F14" s="188"/>
      <c r="G14" s="188"/>
      <c r="H14" s="188"/>
      <c r="I14" s="188"/>
      <c r="J14" s="188"/>
      <c r="K14" s="188"/>
      <c r="L14" s="189"/>
    </row>
    <row r="15" spans="1:12" ht="16.5" x14ac:dyDescent="0.3">
      <c r="A15" s="173" t="s">
        <v>24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5"/>
    </row>
    <row r="16" spans="1:12" ht="33" x14ac:dyDescent="0.3">
      <c r="A16" s="45" t="s">
        <v>25</v>
      </c>
      <c r="B16" s="46" t="s">
        <v>26</v>
      </c>
      <c r="C16" s="46" t="s">
        <v>27</v>
      </c>
      <c r="D16" s="164" t="s">
        <v>28</v>
      </c>
      <c r="E16" s="164"/>
      <c r="F16" s="164" t="s">
        <v>29</v>
      </c>
      <c r="G16" s="164"/>
      <c r="H16" s="164" t="s">
        <v>30</v>
      </c>
      <c r="I16" s="164"/>
      <c r="J16" s="46" t="s">
        <v>31</v>
      </c>
      <c r="K16" s="46" t="s">
        <v>32</v>
      </c>
      <c r="L16" s="47" t="s">
        <v>33</v>
      </c>
    </row>
    <row r="17" spans="1:12" ht="31.5" x14ac:dyDescent="0.25">
      <c r="A17" s="48" t="s">
        <v>82</v>
      </c>
      <c r="B17" s="49" t="s">
        <v>83</v>
      </c>
      <c r="C17" s="49" t="s">
        <v>84</v>
      </c>
      <c r="D17" s="178" t="s">
        <v>85</v>
      </c>
      <c r="E17" s="178"/>
      <c r="F17" s="178" t="s">
        <v>86</v>
      </c>
      <c r="G17" s="178"/>
      <c r="H17" s="202" t="s">
        <v>87</v>
      </c>
      <c r="I17" s="178"/>
      <c r="J17" s="49">
        <v>55</v>
      </c>
      <c r="K17" s="49">
        <v>52082077</v>
      </c>
      <c r="L17" s="59">
        <v>52593</v>
      </c>
    </row>
    <row r="18" spans="1:12" x14ac:dyDescent="0.25">
      <c r="A18" s="48" t="s">
        <v>161</v>
      </c>
      <c r="B18" s="49" t="s">
        <v>162</v>
      </c>
      <c r="C18" s="49" t="s">
        <v>163</v>
      </c>
      <c r="D18" s="178" t="s">
        <v>86</v>
      </c>
      <c r="E18" s="178"/>
      <c r="F18" s="147" t="s">
        <v>164</v>
      </c>
      <c r="G18" s="190"/>
      <c r="H18" s="191" t="s">
        <v>165</v>
      </c>
      <c r="I18" s="190"/>
      <c r="J18" s="49">
        <v>55</v>
      </c>
      <c r="K18" s="49">
        <v>52082077</v>
      </c>
      <c r="L18" s="59">
        <v>52564</v>
      </c>
    </row>
    <row r="19" spans="1:12" x14ac:dyDescent="0.25">
      <c r="A19" s="50" t="s">
        <v>215</v>
      </c>
      <c r="B19" s="51" t="s">
        <v>216</v>
      </c>
      <c r="C19" s="51" t="s">
        <v>217</v>
      </c>
      <c r="D19" s="197" t="s">
        <v>218</v>
      </c>
      <c r="E19" s="197"/>
      <c r="F19" s="197" t="s">
        <v>219</v>
      </c>
      <c r="G19" s="197"/>
      <c r="H19" s="198" t="s">
        <v>220</v>
      </c>
      <c r="I19" s="197"/>
      <c r="J19" s="51">
        <v>55</v>
      </c>
      <c r="K19" s="51" t="s">
        <v>221</v>
      </c>
      <c r="L19" s="52">
        <v>58501</v>
      </c>
    </row>
    <row r="20" spans="1:12" x14ac:dyDescent="0.25">
      <c r="A20" s="50" t="s">
        <v>222</v>
      </c>
      <c r="B20" s="51" t="s">
        <v>223</v>
      </c>
      <c r="C20" s="51" t="s">
        <v>224</v>
      </c>
      <c r="D20" s="197" t="s">
        <v>218</v>
      </c>
      <c r="E20" s="197"/>
      <c r="F20" s="199" t="s">
        <v>225</v>
      </c>
      <c r="G20" s="200"/>
      <c r="H20" s="201" t="s">
        <v>226</v>
      </c>
      <c r="I20" s="200"/>
      <c r="J20" s="51">
        <v>55</v>
      </c>
      <c r="K20" s="51" t="s">
        <v>221</v>
      </c>
      <c r="L20" s="52">
        <v>58522</v>
      </c>
    </row>
    <row r="21" spans="1:12" ht="16.5" x14ac:dyDescent="0.3">
      <c r="A21" s="173" t="s">
        <v>35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5"/>
    </row>
    <row r="22" spans="1:12" s="63" customFormat="1" ht="45" customHeight="1" x14ac:dyDescent="0.25">
      <c r="A22" s="192" t="s">
        <v>171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93"/>
    </row>
    <row r="23" spans="1:12" x14ac:dyDescent="0.25">
      <c r="A23" s="194" t="s">
        <v>36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6"/>
    </row>
    <row r="24" spans="1:12" ht="16.5" x14ac:dyDescent="0.3">
      <c r="A24" s="185" t="s">
        <v>37</v>
      </c>
      <c r="B24" s="186"/>
      <c r="C24" s="187" t="s">
        <v>88</v>
      </c>
      <c r="D24" s="188"/>
      <c r="E24" s="188"/>
      <c r="F24" s="188"/>
      <c r="G24" s="188"/>
      <c r="H24" s="188"/>
      <c r="I24" s="188"/>
      <c r="J24" s="188"/>
      <c r="K24" s="188"/>
      <c r="L24" s="189"/>
    </row>
    <row r="25" spans="1:12" ht="16.5" x14ac:dyDescent="0.3">
      <c r="A25" s="173" t="s">
        <v>38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5"/>
    </row>
    <row r="26" spans="1:12" ht="16.5" x14ac:dyDescent="0.3">
      <c r="A26" s="183" t="s">
        <v>39</v>
      </c>
      <c r="B26" s="164"/>
      <c r="C26" s="164"/>
      <c r="D26" s="164"/>
      <c r="E26" s="164" t="s">
        <v>40</v>
      </c>
      <c r="F26" s="164"/>
      <c r="G26" s="164"/>
      <c r="H26" s="164"/>
      <c r="I26" s="164" t="s">
        <v>41</v>
      </c>
      <c r="J26" s="164"/>
      <c r="K26" s="164"/>
      <c r="L26" s="176"/>
    </row>
    <row r="27" spans="1:12" x14ac:dyDescent="0.25">
      <c r="A27" s="177">
        <v>2012</v>
      </c>
      <c r="B27" s="178"/>
      <c r="C27" s="178"/>
      <c r="D27" s="178"/>
      <c r="E27" s="178" t="s">
        <v>89</v>
      </c>
      <c r="F27" s="178"/>
      <c r="G27" s="178"/>
      <c r="H27" s="178"/>
      <c r="I27" s="178" t="s">
        <v>181</v>
      </c>
      <c r="J27" s="178"/>
      <c r="K27" s="178"/>
      <c r="L27" s="179"/>
    </row>
    <row r="28" spans="1:12" ht="16.5" x14ac:dyDescent="0.3">
      <c r="A28" s="183" t="s">
        <v>42</v>
      </c>
      <c r="B28" s="164"/>
      <c r="C28" s="164"/>
      <c r="D28" s="164"/>
      <c r="E28" s="164" t="s">
        <v>43</v>
      </c>
      <c r="F28" s="164"/>
      <c r="G28" s="164"/>
      <c r="H28" s="164"/>
      <c r="I28" s="164" t="s">
        <v>44</v>
      </c>
      <c r="J28" s="164"/>
      <c r="K28" s="164"/>
      <c r="L28" s="176"/>
    </row>
    <row r="29" spans="1:12" x14ac:dyDescent="0.25">
      <c r="A29" s="184">
        <v>55.3</v>
      </c>
      <c r="B29" s="157"/>
      <c r="C29" s="157"/>
      <c r="D29" s="158"/>
      <c r="E29" s="156">
        <v>35847964.700000003</v>
      </c>
      <c r="F29" s="157"/>
      <c r="G29" s="157"/>
      <c r="H29" s="158"/>
      <c r="I29" s="156">
        <v>64793133.700000003</v>
      </c>
      <c r="J29" s="157"/>
      <c r="K29" s="157"/>
      <c r="L29" s="158"/>
    </row>
    <row r="30" spans="1:12" ht="16.5" x14ac:dyDescent="0.3">
      <c r="A30" s="173" t="s">
        <v>45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5"/>
    </row>
    <row r="31" spans="1:12" ht="16.5" x14ac:dyDescent="0.3">
      <c r="A31" s="183" t="s">
        <v>46</v>
      </c>
      <c r="B31" s="164"/>
      <c r="C31" s="164"/>
      <c r="D31" s="164"/>
      <c r="E31" s="164" t="s">
        <v>47</v>
      </c>
      <c r="F31" s="164"/>
      <c r="G31" s="164"/>
      <c r="H31" s="164"/>
      <c r="I31" s="164" t="s">
        <v>48</v>
      </c>
      <c r="J31" s="164"/>
      <c r="K31" s="164"/>
      <c r="L31" s="176"/>
    </row>
    <row r="32" spans="1:12" x14ac:dyDescent="0.25">
      <c r="A32" s="177" t="s">
        <v>182</v>
      </c>
      <c r="B32" s="178"/>
      <c r="C32" s="178"/>
      <c r="D32" s="178"/>
      <c r="E32" s="178">
        <v>60</v>
      </c>
      <c r="F32" s="178"/>
      <c r="G32" s="178"/>
      <c r="H32" s="178"/>
      <c r="I32" s="178">
        <v>50</v>
      </c>
      <c r="J32" s="178"/>
      <c r="K32" s="178"/>
      <c r="L32" s="179"/>
    </row>
    <row r="33" spans="1:13" ht="17.25" x14ac:dyDescent="0.3">
      <c r="A33" s="180" t="s">
        <v>49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2"/>
    </row>
    <row r="34" spans="1:13" ht="16.5" x14ac:dyDescent="0.3">
      <c r="A34" s="183" t="s">
        <v>39</v>
      </c>
      <c r="B34" s="164"/>
      <c r="C34" s="164" t="s">
        <v>50</v>
      </c>
      <c r="D34" s="164"/>
      <c r="E34" s="164" t="s">
        <v>43</v>
      </c>
      <c r="F34" s="164"/>
      <c r="G34" s="164"/>
      <c r="H34" s="164" t="s">
        <v>44</v>
      </c>
      <c r="I34" s="164"/>
      <c r="J34" s="164"/>
      <c r="K34" s="164" t="s">
        <v>51</v>
      </c>
      <c r="L34" s="176"/>
    </row>
    <row r="35" spans="1:13" x14ac:dyDescent="0.25">
      <c r="A35" s="170">
        <v>2015</v>
      </c>
      <c r="B35" s="171"/>
      <c r="C35" s="171"/>
      <c r="D35" s="171"/>
      <c r="E35" s="171"/>
      <c r="F35" s="171"/>
      <c r="G35" s="171"/>
      <c r="H35" s="171">
        <v>77845081.243000001</v>
      </c>
      <c r="I35" s="171"/>
      <c r="J35" s="171"/>
      <c r="K35" s="171" t="s">
        <v>202</v>
      </c>
      <c r="L35" s="172"/>
      <c r="M35" s="130" t="s">
        <v>274</v>
      </c>
    </row>
    <row r="36" spans="1:13" x14ac:dyDescent="0.25">
      <c r="A36" s="177">
        <v>2018</v>
      </c>
      <c r="B36" s="178"/>
      <c r="C36" s="178">
        <v>65</v>
      </c>
      <c r="D36" s="178"/>
      <c r="E36" s="178">
        <v>53779330.295670658</v>
      </c>
      <c r="F36" s="178"/>
      <c r="G36" s="178"/>
      <c r="H36" s="178">
        <v>86358276.482215866</v>
      </c>
      <c r="I36" s="178"/>
      <c r="J36" s="178"/>
      <c r="K36" s="178" t="s">
        <v>202</v>
      </c>
      <c r="L36" s="179"/>
    </row>
    <row r="37" spans="1:13" ht="16.5" x14ac:dyDescent="0.3">
      <c r="A37" s="173" t="s">
        <v>52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5"/>
    </row>
    <row r="38" spans="1:13" ht="16.5" x14ac:dyDescent="0.3">
      <c r="A38" s="53" t="s">
        <v>40</v>
      </c>
      <c r="B38" s="164" t="s">
        <v>50</v>
      </c>
      <c r="C38" s="164"/>
      <c r="D38" s="164" t="s">
        <v>43</v>
      </c>
      <c r="E38" s="164"/>
      <c r="F38" s="164" t="s">
        <v>44</v>
      </c>
      <c r="G38" s="164"/>
      <c r="H38" s="164" t="s">
        <v>53</v>
      </c>
      <c r="I38" s="164"/>
      <c r="J38" s="164" t="s">
        <v>54</v>
      </c>
      <c r="K38" s="164"/>
      <c r="L38" s="176"/>
    </row>
    <row r="39" spans="1:13" x14ac:dyDescent="0.25">
      <c r="A39" s="128" t="s">
        <v>23</v>
      </c>
      <c r="B39" s="165"/>
      <c r="C39" s="166"/>
      <c r="D39" s="165"/>
      <c r="E39" s="166"/>
      <c r="F39" s="165">
        <v>77845081.243000001</v>
      </c>
      <c r="G39" s="166"/>
      <c r="H39" s="165" t="s">
        <v>203</v>
      </c>
      <c r="I39" s="166"/>
      <c r="J39" s="167">
        <v>42613</v>
      </c>
      <c r="K39" s="168"/>
      <c r="L39" s="169"/>
      <c r="M39" s="130" t="s">
        <v>274</v>
      </c>
    </row>
    <row r="40" spans="1:13" ht="16.5" x14ac:dyDescent="0.3">
      <c r="A40" s="150" t="s">
        <v>55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2"/>
    </row>
    <row r="41" spans="1:13" ht="16.5" x14ac:dyDescent="0.3">
      <c r="A41" s="142" t="s">
        <v>40</v>
      </c>
      <c r="B41" s="143"/>
      <c r="C41" s="143"/>
      <c r="D41" s="143" t="s">
        <v>50</v>
      </c>
      <c r="E41" s="143"/>
      <c r="F41" s="143"/>
      <c r="G41" s="143" t="s">
        <v>43</v>
      </c>
      <c r="H41" s="143"/>
      <c r="I41" s="143"/>
      <c r="J41" s="143" t="s">
        <v>44</v>
      </c>
      <c r="K41" s="143"/>
      <c r="L41" s="144"/>
    </row>
    <row r="42" spans="1:13" x14ac:dyDescent="0.25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8"/>
    </row>
    <row r="43" spans="1:13" x14ac:dyDescent="0.25">
      <c r="A43" s="136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8"/>
    </row>
    <row r="44" spans="1:13" x14ac:dyDescent="0.25">
      <c r="A44" s="161" t="s">
        <v>56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3"/>
    </row>
    <row r="45" spans="1:13" ht="46.5" customHeight="1" x14ac:dyDescent="0.3">
      <c r="A45" s="45" t="s">
        <v>57</v>
      </c>
      <c r="B45" s="46" t="s">
        <v>58</v>
      </c>
      <c r="C45" s="164" t="s">
        <v>59</v>
      </c>
      <c r="D45" s="164"/>
      <c r="E45" s="164"/>
      <c r="F45" s="46" t="s">
        <v>60</v>
      </c>
      <c r="G45" s="46" t="s">
        <v>61</v>
      </c>
      <c r="H45" s="46" t="s">
        <v>62</v>
      </c>
      <c r="I45" s="164" t="s">
        <v>63</v>
      </c>
      <c r="J45" s="164"/>
      <c r="K45" s="46" t="s">
        <v>64</v>
      </c>
      <c r="L45" s="47" t="s">
        <v>65</v>
      </c>
    </row>
    <row r="46" spans="1:13" s="58" customFormat="1" ht="99" customHeight="1" x14ac:dyDescent="0.25">
      <c r="A46" s="55" t="s">
        <v>168</v>
      </c>
      <c r="B46" s="56" t="s">
        <v>169</v>
      </c>
      <c r="C46" s="156" t="s">
        <v>185</v>
      </c>
      <c r="D46" s="157"/>
      <c r="E46" s="158"/>
      <c r="F46" s="88" t="s">
        <v>167</v>
      </c>
      <c r="G46" s="56" t="s">
        <v>90</v>
      </c>
      <c r="H46" s="56" t="s">
        <v>23</v>
      </c>
      <c r="I46" s="159" t="s">
        <v>183</v>
      </c>
      <c r="J46" s="159"/>
      <c r="K46" s="129">
        <v>42588</v>
      </c>
      <c r="L46" s="57" t="s">
        <v>184</v>
      </c>
    </row>
    <row r="47" spans="1:13" s="58" customFormat="1" ht="204.75" x14ac:dyDescent="0.25">
      <c r="A47" s="55" t="s">
        <v>166</v>
      </c>
      <c r="B47" s="56" t="s">
        <v>186</v>
      </c>
      <c r="C47" s="159" t="s">
        <v>185</v>
      </c>
      <c r="D47" s="159"/>
      <c r="E47" s="159"/>
      <c r="F47" s="56" t="s">
        <v>167</v>
      </c>
      <c r="G47" s="56" t="s">
        <v>90</v>
      </c>
      <c r="H47" s="56" t="s">
        <v>23</v>
      </c>
      <c r="I47" s="159" t="s">
        <v>183</v>
      </c>
      <c r="J47" s="159"/>
      <c r="K47" s="129">
        <v>42222</v>
      </c>
      <c r="L47" s="57" t="s">
        <v>184</v>
      </c>
    </row>
    <row r="48" spans="1:13" x14ac:dyDescent="0.25">
      <c r="A48" s="54"/>
      <c r="B48" s="6"/>
      <c r="C48" s="153"/>
      <c r="D48" s="154"/>
      <c r="E48" s="160"/>
      <c r="F48" s="6"/>
      <c r="G48" s="6"/>
      <c r="H48" s="6"/>
      <c r="I48" s="153"/>
      <c r="J48" s="160"/>
      <c r="K48" s="6"/>
      <c r="L48" s="59"/>
    </row>
    <row r="49" spans="1:12" ht="16.5" x14ac:dyDescent="0.3">
      <c r="A49" s="139" t="s">
        <v>66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1"/>
    </row>
    <row r="50" spans="1:12" ht="16.5" x14ac:dyDescent="0.3">
      <c r="A50" s="150" t="s">
        <v>67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2"/>
    </row>
    <row r="51" spans="1:12" ht="16.5" x14ac:dyDescent="0.3">
      <c r="A51" s="145" t="s">
        <v>68</v>
      </c>
      <c r="B51" s="146"/>
      <c r="C51" s="146"/>
      <c r="D51" s="153" t="s">
        <v>256</v>
      </c>
      <c r="E51" s="154"/>
      <c r="F51" s="154"/>
      <c r="G51" s="154"/>
      <c r="H51" s="154"/>
      <c r="I51" s="154"/>
      <c r="J51" s="154"/>
      <c r="K51" s="154"/>
      <c r="L51" s="155"/>
    </row>
    <row r="52" spans="1:12" ht="16.5" x14ac:dyDescent="0.3">
      <c r="A52" s="150" t="s">
        <v>69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2"/>
    </row>
    <row r="53" spans="1:12" ht="16.5" x14ac:dyDescent="0.3">
      <c r="A53" s="145" t="s">
        <v>70</v>
      </c>
      <c r="B53" s="146"/>
      <c r="C53" s="146"/>
      <c r="D53" s="137"/>
      <c r="E53" s="137"/>
      <c r="F53" s="137"/>
      <c r="G53" s="137"/>
      <c r="H53" s="137"/>
      <c r="I53" s="137"/>
      <c r="J53" s="137"/>
      <c r="K53" s="137"/>
      <c r="L53" s="138"/>
    </row>
    <row r="54" spans="1:12" ht="32.25" customHeight="1" x14ac:dyDescent="0.3">
      <c r="A54" s="145" t="s">
        <v>71</v>
      </c>
      <c r="B54" s="146"/>
      <c r="C54" s="146"/>
      <c r="D54" s="147" t="s">
        <v>187</v>
      </c>
      <c r="E54" s="148"/>
      <c r="F54" s="148"/>
      <c r="G54" s="148"/>
      <c r="H54" s="148"/>
      <c r="I54" s="148"/>
      <c r="J54" s="148"/>
      <c r="K54" s="148"/>
      <c r="L54" s="149"/>
    </row>
    <row r="55" spans="1:12" ht="16.5" x14ac:dyDescent="0.3">
      <c r="A55" s="150" t="s">
        <v>72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2"/>
    </row>
    <row r="56" spans="1:12" ht="16.5" x14ac:dyDescent="0.3">
      <c r="A56" s="142" t="s">
        <v>73</v>
      </c>
      <c r="B56" s="143"/>
      <c r="C56" s="143"/>
      <c r="D56" s="143"/>
      <c r="E56" s="143" t="s">
        <v>74</v>
      </c>
      <c r="F56" s="143"/>
      <c r="G56" s="143"/>
      <c r="H56" s="143"/>
      <c r="I56" s="143" t="s">
        <v>75</v>
      </c>
      <c r="J56" s="143"/>
      <c r="K56" s="143"/>
      <c r="L56" s="144"/>
    </row>
    <row r="57" spans="1:12" x14ac:dyDescent="0.25">
      <c r="A57" s="136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8"/>
    </row>
    <row r="58" spans="1:12" x14ac:dyDescent="0.25">
      <c r="A58" s="136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8"/>
    </row>
    <row r="59" spans="1:12" ht="16.5" x14ac:dyDescent="0.3">
      <c r="A59" s="139" t="s">
        <v>76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1"/>
    </row>
    <row r="60" spans="1:12" ht="16.5" x14ac:dyDescent="0.3">
      <c r="A60" s="142" t="s">
        <v>77</v>
      </c>
      <c r="B60" s="143"/>
      <c r="C60" s="143" t="s">
        <v>78</v>
      </c>
      <c r="D60" s="143"/>
      <c r="E60" s="143"/>
      <c r="F60" s="143" t="s">
        <v>79</v>
      </c>
      <c r="G60" s="143"/>
      <c r="H60" s="143"/>
      <c r="I60" s="143" t="s">
        <v>80</v>
      </c>
      <c r="J60" s="143"/>
      <c r="K60" s="143" t="s">
        <v>61</v>
      </c>
      <c r="L60" s="144"/>
    </row>
    <row r="61" spans="1:12" x14ac:dyDescent="0.25">
      <c r="A61" s="136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8"/>
    </row>
    <row r="62" spans="1:12" x14ac:dyDescent="0.25">
      <c r="A62" s="136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8"/>
    </row>
    <row r="63" spans="1:12" ht="16.5" thickBot="1" x14ac:dyDescent="0.3">
      <c r="A63" s="133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5"/>
    </row>
  </sheetData>
  <mergeCells count="161">
    <mergeCell ref="A5:L5"/>
    <mergeCell ref="A6:B6"/>
    <mergeCell ref="C6:E6"/>
    <mergeCell ref="F6:G6"/>
    <mergeCell ref="H6:L6"/>
    <mergeCell ref="A7:B7"/>
    <mergeCell ref="C7:L7"/>
    <mergeCell ref="A1:L1"/>
    <mergeCell ref="A2:L2"/>
    <mergeCell ref="A3:B3"/>
    <mergeCell ref="C3:L3"/>
    <mergeCell ref="A4:B4"/>
    <mergeCell ref="C4:L4"/>
    <mergeCell ref="A10:B10"/>
    <mergeCell ref="C10:L10"/>
    <mergeCell ref="A11:B11"/>
    <mergeCell ref="C11:L11"/>
    <mergeCell ref="A12:B12"/>
    <mergeCell ref="C12:L12"/>
    <mergeCell ref="A8:B8"/>
    <mergeCell ref="C8:E8"/>
    <mergeCell ref="F8:G8"/>
    <mergeCell ref="H8:L8"/>
    <mergeCell ref="A9:B9"/>
    <mergeCell ref="C9:L9"/>
    <mergeCell ref="D16:E16"/>
    <mergeCell ref="F16:G16"/>
    <mergeCell ref="H16:I16"/>
    <mergeCell ref="D17:E17"/>
    <mergeCell ref="F17:G17"/>
    <mergeCell ref="H17:I17"/>
    <mergeCell ref="A13:B13"/>
    <mergeCell ref="C13:E13"/>
    <mergeCell ref="F13:G13"/>
    <mergeCell ref="H13:L13"/>
    <mergeCell ref="C14:L14"/>
    <mergeCell ref="A15:L15"/>
    <mergeCell ref="A14:B14"/>
    <mergeCell ref="A24:B24"/>
    <mergeCell ref="C24:L24"/>
    <mergeCell ref="A25:L25"/>
    <mergeCell ref="A26:D26"/>
    <mergeCell ref="E26:H26"/>
    <mergeCell ref="I26:L26"/>
    <mergeCell ref="D18:E18"/>
    <mergeCell ref="F18:G18"/>
    <mergeCell ref="H18:I18"/>
    <mergeCell ref="A21:L21"/>
    <mergeCell ref="A22:L22"/>
    <mergeCell ref="A23:L23"/>
    <mergeCell ref="D19:E19"/>
    <mergeCell ref="F19:G19"/>
    <mergeCell ref="H19:I19"/>
    <mergeCell ref="D20:E20"/>
    <mergeCell ref="F20:G20"/>
    <mergeCell ref="H20:I20"/>
    <mergeCell ref="A29:D29"/>
    <mergeCell ref="E29:H29"/>
    <mergeCell ref="I29:L29"/>
    <mergeCell ref="A30:L30"/>
    <mergeCell ref="A31:D31"/>
    <mergeCell ref="E31:H31"/>
    <mergeCell ref="I31:L31"/>
    <mergeCell ref="A27:D27"/>
    <mergeCell ref="E27:H27"/>
    <mergeCell ref="I27:L27"/>
    <mergeCell ref="A28:D28"/>
    <mergeCell ref="E28:H28"/>
    <mergeCell ref="I28:L28"/>
    <mergeCell ref="A32:D32"/>
    <mergeCell ref="E32:H32"/>
    <mergeCell ref="I32:L32"/>
    <mergeCell ref="A33:L33"/>
    <mergeCell ref="A34:B34"/>
    <mergeCell ref="C34:D34"/>
    <mergeCell ref="E34:G34"/>
    <mergeCell ref="H34:J34"/>
    <mergeCell ref="K34:L34"/>
    <mergeCell ref="A35:B35"/>
    <mergeCell ref="C35:D35"/>
    <mergeCell ref="E35:G35"/>
    <mergeCell ref="H35:J35"/>
    <mergeCell ref="K35:L35"/>
    <mergeCell ref="A37:L37"/>
    <mergeCell ref="B38:C38"/>
    <mergeCell ref="D38:E38"/>
    <mergeCell ref="F38:G38"/>
    <mergeCell ref="H38:I38"/>
    <mergeCell ref="J38:L38"/>
    <mergeCell ref="A36:B36"/>
    <mergeCell ref="C36:D36"/>
    <mergeCell ref="E36:G36"/>
    <mergeCell ref="H36:J36"/>
    <mergeCell ref="K36:L36"/>
    <mergeCell ref="A41:C41"/>
    <mergeCell ref="D41:F41"/>
    <mergeCell ref="G41:I41"/>
    <mergeCell ref="J41:L41"/>
    <mergeCell ref="A42:C42"/>
    <mergeCell ref="D42:F42"/>
    <mergeCell ref="G42:I42"/>
    <mergeCell ref="J42:L42"/>
    <mergeCell ref="B39:C39"/>
    <mergeCell ref="D39:E39"/>
    <mergeCell ref="F39:G39"/>
    <mergeCell ref="H39:I39"/>
    <mergeCell ref="J39:L39"/>
    <mergeCell ref="A40:L40"/>
    <mergeCell ref="C46:E46"/>
    <mergeCell ref="I46:J46"/>
    <mergeCell ref="C47:E47"/>
    <mergeCell ref="I47:J47"/>
    <mergeCell ref="C48:E48"/>
    <mergeCell ref="I48:J48"/>
    <mergeCell ref="A43:C43"/>
    <mergeCell ref="D43:F43"/>
    <mergeCell ref="G43:I43"/>
    <mergeCell ref="J43:L43"/>
    <mergeCell ref="A44:L44"/>
    <mergeCell ref="C45:E45"/>
    <mergeCell ref="I45:J45"/>
    <mergeCell ref="A54:C54"/>
    <mergeCell ref="D54:L54"/>
    <mergeCell ref="A55:L55"/>
    <mergeCell ref="A56:D56"/>
    <mergeCell ref="E56:H56"/>
    <mergeCell ref="I56:L56"/>
    <mergeCell ref="A49:L49"/>
    <mergeCell ref="A50:L50"/>
    <mergeCell ref="A51:C51"/>
    <mergeCell ref="D51:L51"/>
    <mergeCell ref="A52:L52"/>
    <mergeCell ref="A53:C53"/>
    <mergeCell ref="D53:L53"/>
    <mergeCell ref="A59:L59"/>
    <mergeCell ref="A60:B60"/>
    <mergeCell ref="C60:E60"/>
    <mergeCell ref="F60:H60"/>
    <mergeCell ref="I60:J60"/>
    <mergeCell ref="K60:L60"/>
    <mergeCell ref="A57:D57"/>
    <mergeCell ref="E57:H57"/>
    <mergeCell ref="I57:L57"/>
    <mergeCell ref="A58:D58"/>
    <mergeCell ref="E58:H58"/>
    <mergeCell ref="I58:L58"/>
    <mergeCell ref="A63:B63"/>
    <mergeCell ref="C63:E63"/>
    <mergeCell ref="F63:H63"/>
    <mergeCell ref="I63:J63"/>
    <mergeCell ref="K63:L63"/>
    <mergeCell ref="A61:B61"/>
    <mergeCell ref="C61:E61"/>
    <mergeCell ref="F61:H61"/>
    <mergeCell ref="I61:J61"/>
    <mergeCell ref="K61:L61"/>
    <mergeCell ref="A62:B62"/>
    <mergeCell ref="C62:E62"/>
    <mergeCell ref="F62:H62"/>
    <mergeCell ref="I62:J62"/>
    <mergeCell ref="K62:L62"/>
  </mergeCells>
  <hyperlinks>
    <hyperlink ref="H17" r:id="rId1"/>
    <hyperlink ref="H18" r:id="rId2"/>
    <hyperlink ref="H19" r:id="rId3"/>
    <hyperlink ref="H20" r:id="rId4"/>
  </hyperlinks>
  <pageMargins left="0.7" right="0.7" top="0.75" bottom="0.75" header="0.3" footer="0.3"/>
  <pageSetup scale="61" orientation="portrait" r:id="rId5"/>
  <headerFooter>
    <oddHeader>&amp;C&amp;"-,Negrita"Ramo 33 Fondo de Aportaciones para los Servicios de Salud para el Ejercicio Fiscal 2015
Ficha Técnica de Indicadores
Componente</oddHeader>
    <oddFooter>&amp;L&amp;F&amp;C&amp;P&amp;R&amp;D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B129"/>
  <sheetViews>
    <sheetView view="pageBreakPreview" topLeftCell="A61" zoomScale="70" zoomScaleNormal="100" zoomScaleSheetLayoutView="70" zoomScalePageLayoutView="70" workbookViewId="0">
      <selection activeCell="M83" sqref="M83"/>
    </sheetView>
  </sheetViews>
  <sheetFormatPr baseColWidth="10" defaultColWidth="18.5703125" defaultRowHeight="15.75" x14ac:dyDescent="0.25"/>
  <cols>
    <col min="1" max="1" width="4.5703125" style="1" customWidth="1"/>
    <col min="2" max="2" width="24.28515625" style="1" customWidth="1"/>
    <col min="3" max="4" width="21.140625" style="1" bestFit="1" customWidth="1"/>
    <col min="5" max="5" width="20.7109375" style="1" bestFit="1" customWidth="1"/>
    <col min="6" max="6" width="21.140625" style="1" customWidth="1"/>
    <col min="7" max="7" width="20.7109375" style="1" bestFit="1" customWidth="1"/>
    <col min="8" max="8" width="21.7109375" style="1" customWidth="1"/>
    <col min="9" max="9" width="20.5703125" style="1" customWidth="1"/>
    <col min="10" max="10" width="20.42578125" style="1" customWidth="1"/>
    <col min="11" max="11" width="19.85546875" style="1" customWidth="1"/>
    <col min="12" max="12" width="20.7109375" style="1" customWidth="1"/>
    <col min="13" max="13" width="44.85546875" style="1" customWidth="1"/>
    <col min="14" max="14" width="20.7109375" style="1" customWidth="1"/>
    <col min="15" max="15" width="20.85546875" style="1" customWidth="1"/>
    <col min="16" max="16384" width="18.5703125" style="1"/>
  </cols>
  <sheetData>
    <row r="1" spans="1:28" ht="23.25" x14ac:dyDescent="0.4">
      <c r="A1" s="225" t="s">
        <v>198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28" ht="21" x14ac:dyDescent="0.35">
      <c r="A2" s="226" t="s">
        <v>257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28" ht="15.75" customHeight="1" x14ac:dyDescent="0.3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28" ht="23.25" x14ac:dyDescent="0.4">
      <c r="A4" s="225" t="s">
        <v>258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28" ht="16.5" x14ac:dyDescent="0.3">
      <c r="A5" s="2" t="s">
        <v>197</v>
      </c>
    </row>
    <row r="6" spans="1:28" ht="17.25" x14ac:dyDescent="0.3">
      <c r="A6" s="2" t="s">
        <v>194</v>
      </c>
      <c r="L6" s="98" t="s">
        <v>193</v>
      </c>
    </row>
    <row r="7" spans="1:28" ht="17.25" customHeight="1" x14ac:dyDescent="0.3">
      <c r="A7" s="2" t="s">
        <v>196</v>
      </c>
      <c r="N7" s="64"/>
      <c r="O7" s="13"/>
      <c r="V7" s="31" t="s">
        <v>91</v>
      </c>
    </row>
    <row r="8" spans="1:28" s="29" customFormat="1" ht="28.5" customHeight="1" x14ac:dyDescent="0.25">
      <c r="A8" s="230" t="s">
        <v>192</v>
      </c>
      <c r="B8" s="231"/>
      <c r="C8" s="89">
        <v>2009</v>
      </c>
      <c r="D8" s="89">
        <v>2010</v>
      </c>
      <c r="E8" s="89">
        <v>2011</v>
      </c>
      <c r="F8" s="89">
        <v>2012</v>
      </c>
      <c r="G8" s="89">
        <v>2013</v>
      </c>
      <c r="H8" s="89">
        <v>2014</v>
      </c>
      <c r="I8" s="89">
        <v>2015</v>
      </c>
      <c r="J8" s="89">
        <v>2016</v>
      </c>
      <c r="K8" s="89">
        <v>2017</v>
      </c>
      <c r="L8" s="89">
        <v>2018</v>
      </c>
      <c r="M8" s="131" t="s">
        <v>275</v>
      </c>
      <c r="N8" s="30"/>
      <c r="O8" s="30"/>
    </row>
    <row r="9" spans="1:28" x14ac:dyDescent="0.25">
      <c r="A9" s="6" t="s">
        <v>92</v>
      </c>
      <c r="B9" s="6" t="s">
        <v>93</v>
      </c>
      <c r="C9" s="11">
        <v>654451.53</v>
      </c>
      <c r="D9" s="11">
        <v>627915.14</v>
      </c>
      <c r="E9" s="11">
        <v>727295.8</v>
      </c>
      <c r="F9" s="11">
        <v>914542.05999999994</v>
      </c>
      <c r="G9" s="11">
        <v>846655.12479999999</v>
      </c>
      <c r="H9" s="11">
        <v>876457.38519295992</v>
      </c>
      <c r="I9" s="11">
        <f t="shared" ref="I9:I40" si="0">H9*1.0352</f>
        <v>907308.68515175197</v>
      </c>
      <c r="J9" s="11">
        <f t="shared" ref="J9:J40" si="1">I9*1.034</f>
        <v>938157.1804469116</v>
      </c>
      <c r="K9" s="11">
        <f t="shared" ref="K9:K40" si="2">J9*1.032</f>
        <v>968178.21022121282</v>
      </c>
      <c r="L9" s="11">
        <f t="shared" ref="L9:L40" si="3">K9*1.0344353566</f>
        <v>1001517.7721425301</v>
      </c>
      <c r="M9" s="68"/>
      <c r="N9" s="27"/>
      <c r="O9" s="28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x14ac:dyDescent="0.25">
      <c r="A10" s="6" t="s">
        <v>94</v>
      </c>
      <c r="B10" s="6" t="s">
        <v>95</v>
      </c>
      <c r="C10" s="11">
        <v>60816.61</v>
      </c>
      <c r="D10" s="11">
        <v>62297.760000000002</v>
      </c>
      <c r="E10" s="11">
        <v>751145.28</v>
      </c>
      <c r="F10" s="11">
        <v>188198.05</v>
      </c>
      <c r="G10" s="11">
        <v>1148653.7369000001</v>
      </c>
      <c r="H10" s="11">
        <v>1189086.3484388799</v>
      </c>
      <c r="I10" s="11">
        <f t="shared" si="0"/>
        <v>1230942.1879039283</v>
      </c>
      <c r="J10" s="11">
        <f t="shared" si="1"/>
        <v>1272794.2222926619</v>
      </c>
      <c r="K10" s="11">
        <f t="shared" si="2"/>
        <v>1313523.6374060272</v>
      </c>
      <c r="L10" s="11">
        <f t="shared" si="3"/>
        <v>1358755.2922626329</v>
      </c>
      <c r="M10" s="68"/>
      <c r="N10" s="27"/>
      <c r="O10" s="28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28" x14ac:dyDescent="0.25">
      <c r="A11" s="6" t="s">
        <v>96</v>
      </c>
      <c r="B11" s="6" t="s">
        <v>97</v>
      </c>
      <c r="C11" s="11">
        <v>326259.18</v>
      </c>
      <c r="D11" s="11">
        <v>369663.53</v>
      </c>
      <c r="E11" s="11">
        <v>443870.07</v>
      </c>
      <c r="F11" s="11">
        <v>529471.81999999995</v>
      </c>
      <c r="G11" s="11">
        <v>539958.77061000001</v>
      </c>
      <c r="H11" s="11">
        <v>558965.31933547196</v>
      </c>
      <c r="I11" s="11">
        <f t="shared" si="0"/>
        <v>578640.89857608057</v>
      </c>
      <c r="J11" s="11">
        <f t="shared" si="1"/>
        <v>598314.68912766734</v>
      </c>
      <c r="K11" s="11">
        <f t="shared" si="2"/>
        <v>617460.75917975267</v>
      </c>
      <c r="L11" s="11">
        <f t="shared" si="3"/>
        <v>638723.24060861417</v>
      </c>
      <c r="M11" s="68"/>
      <c r="N11" s="27"/>
      <c r="O11" s="28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28" x14ac:dyDescent="0.25">
      <c r="A12" s="6" t="s">
        <v>98</v>
      </c>
      <c r="B12" s="6" t="s">
        <v>99</v>
      </c>
      <c r="C12" s="11">
        <v>775567</v>
      </c>
      <c r="D12" s="11">
        <v>684443</v>
      </c>
      <c r="E12" s="11">
        <v>733227</v>
      </c>
      <c r="F12" s="11">
        <v>975433</v>
      </c>
      <c r="G12" s="11">
        <v>731031.45371999999</v>
      </c>
      <c r="H12" s="11">
        <v>756763.76089094393</v>
      </c>
      <c r="I12" s="11">
        <f t="shared" si="0"/>
        <v>783401.84527430509</v>
      </c>
      <c r="J12" s="11">
        <f t="shared" si="1"/>
        <v>810037.50801363145</v>
      </c>
      <c r="K12" s="11">
        <f t="shared" si="2"/>
        <v>835958.7082700677</v>
      </c>
      <c r="L12" s="11">
        <f t="shared" si="3"/>
        <v>864745.24449222279</v>
      </c>
      <c r="M12" s="68"/>
      <c r="N12" s="27"/>
      <c r="O12" s="28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1:28" x14ac:dyDescent="0.25">
      <c r="A13" s="6" t="s">
        <v>100</v>
      </c>
      <c r="B13" s="69" t="s">
        <v>101</v>
      </c>
      <c r="C13" s="11">
        <v>557366</v>
      </c>
      <c r="D13" s="11">
        <v>732284</v>
      </c>
      <c r="E13" s="11">
        <v>686710.64</v>
      </c>
      <c r="F13" s="11">
        <v>812524.84000000008</v>
      </c>
      <c r="G13" s="65">
        <v>911010.80174000002</v>
      </c>
      <c r="H13" s="65">
        <v>943078.38196124788</v>
      </c>
      <c r="I13" s="65">
        <f t="shared" si="0"/>
        <v>976274.74100628367</v>
      </c>
      <c r="J13" s="65">
        <f t="shared" si="1"/>
        <v>1009468.0822004974</v>
      </c>
      <c r="K13" s="11">
        <f>J13*1.032</f>
        <v>1041771.0608309134</v>
      </c>
      <c r="L13" s="11">
        <f>K13*1.0344353566</f>
        <v>1077644.8188061861</v>
      </c>
      <c r="M13" s="68"/>
      <c r="N13" s="27"/>
      <c r="O13" s="28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1:28" x14ac:dyDescent="0.25">
      <c r="A14" s="6" t="s">
        <v>102</v>
      </c>
      <c r="B14" s="69" t="s">
        <v>103</v>
      </c>
      <c r="C14" s="11">
        <v>623987.69999999995</v>
      </c>
      <c r="D14" s="11">
        <v>459024.4</v>
      </c>
      <c r="E14" s="11">
        <v>449360.2</v>
      </c>
      <c r="F14" s="11">
        <v>130203.90000000001</v>
      </c>
      <c r="G14" s="65">
        <v>768788.38675999991</v>
      </c>
      <c r="H14" s="65">
        <v>795849.73797395185</v>
      </c>
      <c r="I14" s="65">
        <f t="shared" si="0"/>
        <v>823863.64875063486</v>
      </c>
      <c r="J14" s="65">
        <f t="shared" si="1"/>
        <v>851875.01280815643</v>
      </c>
      <c r="K14" s="11">
        <f>J14*1.032</f>
        <v>879135.01321801741</v>
      </c>
      <c r="L14" s="11">
        <f>K14*1.0344353566</f>
        <v>909408.34089772555</v>
      </c>
      <c r="M14" s="68"/>
      <c r="N14" s="27"/>
      <c r="O14" s="28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1:28" x14ac:dyDescent="0.25">
      <c r="A15" s="6" t="s">
        <v>104</v>
      </c>
      <c r="B15" s="69" t="s">
        <v>105</v>
      </c>
      <c r="C15" s="11">
        <v>1360497.45</v>
      </c>
      <c r="D15" s="11">
        <v>1449843.01</v>
      </c>
      <c r="E15" s="11">
        <v>1688700.48</v>
      </c>
      <c r="F15" s="11">
        <v>1959453.06</v>
      </c>
      <c r="G15" s="65">
        <v>2006400.1121099999</v>
      </c>
      <c r="H15" s="65">
        <v>2077025.3960562716</v>
      </c>
      <c r="I15" s="65">
        <f t="shared" si="0"/>
        <v>2150136.6899974523</v>
      </c>
      <c r="J15" s="65">
        <f t="shared" si="1"/>
        <v>2223241.3374573658</v>
      </c>
      <c r="K15" s="11">
        <f>J15*1.032</f>
        <v>2294385.0602560015</v>
      </c>
      <c r="L15" s="11">
        <f>K15*1.0344353566</f>
        <v>2373393.0279836291</v>
      </c>
      <c r="M15" s="68"/>
      <c r="N15" s="27"/>
      <c r="O15" s="28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x14ac:dyDescent="0.25">
      <c r="A16" s="6" t="s">
        <v>106</v>
      </c>
      <c r="B16" s="69" t="s">
        <v>107</v>
      </c>
      <c r="C16" s="11">
        <v>124729</v>
      </c>
      <c r="D16" s="11">
        <v>119886</v>
      </c>
      <c r="E16" s="11">
        <v>171850</v>
      </c>
      <c r="F16" s="11">
        <v>1066892</v>
      </c>
      <c r="G16" s="65">
        <v>1151188.64001</v>
      </c>
      <c r="H16" s="65">
        <v>1191710.4801383519</v>
      </c>
      <c r="I16" s="65">
        <f t="shared" si="0"/>
        <v>1233658.6890392217</v>
      </c>
      <c r="J16" s="65">
        <f t="shared" si="1"/>
        <v>1275603.0844665554</v>
      </c>
      <c r="K16" s="11">
        <f>J16*1.032</f>
        <v>1316422.3831694853</v>
      </c>
      <c r="L16" s="11">
        <f>K16*1.0344353566</f>
        <v>1361753.8573701482</v>
      </c>
      <c r="M16" s="68"/>
      <c r="N16" s="27"/>
      <c r="O16" s="28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x14ac:dyDescent="0.25">
      <c r="A17" s="6" t="s">
        <v>108</v>
      </c>
      <c r="B17" s="69" t="s">
        <v>109</v>
      </c>
      <c r="C17" s="11">
        <v>1788593.5</v>
      </c>
      <c r="D17" s="11">
        <v>1680468.2</v>
      </c>
      <c r="E17" s="11">
        <v>1588546.1</v>
      </c>
      <c r="F17" s="11">
        <v>2190966.8200000003</v>
      </c>
      <c r="G17" s="65">
        <v>2079516.2464999999</v>
      </c>
      <c r="H17" s="65">
        <v>2152715.2183767995</v>
      </c>
      <c r="I17" s="11">
        <f t="shared" si="0"/>
        <v>2228490.7940636626</v>
      </c>
      <c r="J17" s="11">
        <f t="shared" si="1"/>
        <v>2304259.4810618274</v>
      </c>
      <c r="K17" s="11">
        <f t="shared" si="2"/>
        <v>2377995.784455806</v>
      </c>
      <c r="L17" s="11">
        <f t="shared" si="3"/>
        <v>2459882.9172868384</v>
      </c>
      <c r="M17" s="68"/>
      <c r="N17" s="27"/>
      <c r="O17" s="28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28" x14ac:dyDescent="0.25">
      <c r="A18" s="6" t="s">
        <v>110</v>
      </c>
      <c r="B18" s="69" t="s">
        <v>111</v>
      </c>
      <c r="C18" s="11">
        <v>107527.63</v>
      </c>
      <c r="D18" s="11">
        <v>99326.28</v>
      </c>
      <c r="E18" s="11">
        <v>169143.71</v>
      </c>
      <c r="F18" s="11">
        <v>961313.01000000013</v>
      </c>
      <c r="G18" s="65">
        <v>1032339.6104600001</v>
      </c>
      <c r="H18" s="65">
        <v>1068677.9647481921</v>
      </c>
      <c r="I18" s="11">
        <f t="shared" si="0"/>
        <v>1106295.4291073284</v>
      </c>
      <c r="J18" s="11">
        <f t="shared" si="1"/>
        <v>1143909.4736969776</v>
      </c>
      <c r="K18" s="11">
        <f t="shared" si="2"/>
        <v>1180514.5768552809</v>
      </c>
      <c r="L18" s="11">
        <f t="shared" si="3"/>
        <v>1221166.0172807905</v>
      </c>
      <c r="M18" s="68"/>
      <c r="N18" s="27"/>
      <c r="O18" s="28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spans="1:28" x14ac:dyDescent="0.25">
      <c r="A19" s="6" t="s">
        <v>112</v>
      </c>
      <c r="B19" s="69" t="s">
        <v>113</v>
      </c>
      <c r="C19" s="11">
        <v>159464.54</v>
      </c>
      <c r="D19" s="11">
        <v>1151989.95</v>
      </c>
      <c r="E19" s="11">
        <v>1257112.06</v>
      </c>
      <c r="F19" s="11">
        <v>1342748.0999999996</v>
      </c>
      <c r="G19" s="65">
        <v>1510317.3132000002</v>
      </c>
      <c r="H19" s="65">
        <v>1563480.48262464</v>
      </c>
      <c r="I19" s="11">
        <f t="shared" si="0"/>
        <v>1618514.9956130271</v>
      </c>
      <c r="J19" s="11">
        <f t="shared" si="1"/>
        <v>1673544.50546387</v>
      </c>
      <c r="K19" s="11">
        <f>J19*1.032</f>
        <v>1727097.9296387138</v>
      </c>
      <c r="L19" s="11">
        <f>K19*1.0344353566</f>
        <v>1786571.1627289446</v>
      </c>
      <c r="M19" s="68"/>
      <c r="N19" s="27"/>
      <c r="O19" s="28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1:28" x14ac:dyDescent="0.25">
      <c r="A20" s="6" t="s">
        <v>114</v>
      </c>
      <c r="B20" s="69" t="s">
        <v>115</v>
      </c>
      <c r="C20" s="11">
        <v>325251.09999999998</v>
      </c>
      <c r="D20" s="11">
        <v>302401.98</v>
      </c>
      <c r="E20" s="11">
        <v>1841220.48</v>
      </c>
      <c r="F20" s="11">
        <v>1805077.4099999997</v>
      </c>
      <c r="G20" s="65">
        <v>2056156.8952499998</v>
      </c>
      <c r="H20" s="65">
        <v>2128533.6179627995</v>
      </c>
      <c r="I20" s="11">
        <f t="shared" si="0"/>
        <v>2203458.0013150899</v>
      </c>
      <c r="J20" s="11">
        <f t="shared" si="1"/>
        <v>2278375.5733598028</v>
      </c>
      <c r="K20" s="11">
        <f>J20*1.032</f>
        <v>2351283.5917073167</v>
      </c>
      <c r="L20" s="11">
        <f>K20*1.0344353566</f>
        <v>2432250.8806554871</v>
      </c>
      <c r="M20" s="68"/>
      <c r="N20" s="27"/>
      <c r="O20" s="28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1:28" x14ac:dyDescent="0.25">
      <c r="A21" s="6" t="s">
        <v>116</v>
      </c>
      <c r="B21" s="69" t="s">
        <v>117</v>
      </c>
      <c r="C21" s="11">
        <v>1456566</v>
      </c>
      <c r="D21" s="11">
        <v>1131518</v>
      </c>
      <c r="E21" s="11">
        <v>184433</v>
      </c>
      <c r="F21" s="11">
        <v>1368391</v>
      </c>
      <c r="G21" s="65">
        <v>1542889.96826</v>
      </c>
      <c r="H21" s="65">
        <v>1597199.6951427518</v>
      </c>
      <c r="I21" s="11">
        <f t="shared" si="0"/>
        <v>1653421.1244117764</v>
      </c>
      <c r="J21" s="11">
        <f t="shared" si="1"/>
        <v>1709637.442641777</v>
      </c>
      <c r="K21" s="11">
        <f>J21*1.032</f>
        <v>1764345.8408063138</v>
      </c>
      <c r="L21" s="11">
        <f>K21*1.0344353566</f>
        <v>1825101.7190002059</v>
      </c>
      <c r="M21" s="68"/>
      <c r="N21" s="27"/>
      <c r="O21" s="28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1:28" x14ac:dyDescent="0.25">
      <c r="A22" s="6" t="s">
        <v>118</v>
      </c>
      <c r="B22" s="69" t="s">
        <v>119</v>
      </c>
      <c r="C22" s="11">
        <v>1577957.56</v>
      </c>
      <c r="D22" s="11">
        <v>1560773.66</v>
      </c>
      <c r="E22" s="11">
        <v>2186402.88</v>
      </c>
      <c r="F22" s="11">
        <v>2354289.4500000002</v>
      </c>
      <c r="G22" s="65">
        <v>2418170.1636400004</v>
      </c>
      <c r="H22" s="65">
        <v>2503289.7534001283</v>
      </c>
      <c r="I22" s="11">
        <f t="shared" si="0"/>
        <v>2591405.5527198124</v>
      </c>
      <c r="J22" s="11">
        <f t="shared" si="1"/>
        <v>2679513.3415122861</v>
      </c>
      <c r="K22" s="11">
        <f>J22*1.032</f>
        <v>2765257.7684406792</v>
      </c>
      <c r="L22" s="11">
        <f>K22*1.0344353566</f>
        <v>2860480.405787854</v>
      </c>
      <c r="M22" s="68"/>
      <c r="N22" s="27"/>
      <c r="O22" s="28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spans="1:28" x14ac:dyDescent="0.25">
      <c r="A23" s="6" t="s">
        <v>120</v>
      </c>
      <c r="B23" s="69" t="s">
        <v>121</v>
      </c>
      <c r="C23" s="11">
        <v>2993480.71</v>
      </c>
      <c r="D23" s="11">
        <v>4541545.0599999996</v>
      </c>
      <c r="E23" s="11">
        <v>4232522.4800000004</v>
      </c>
      <c r="F23" s="11">
        <v>4972831.6999999993</v>
      </c>
      <c r="G23" s="65">
        <v>5282896.42875</v>
      </c>
      <c r="H23" s="65">
        <v>5468854.3830419993</v>
      </c>
      <c r="I23" s="11">
        <f t="shared" si="0"/>
        <v>5661358.0573250772</v>
      </c>
      <c r="J23" s="11">
        <f t="shared" si="1"/>
        <v>5853844.2312741298</v>
      </c>
      <c r="K23" s="11">
        <f>J23*1.032</f>
        <v>6041167.2466749018</v>
      </c>
      <c r="L23" s="11">
        <f>K23*1.0344353566</f>
        <v>6249196.9950943924</v>
      </c>
      <c r="M23" s="68"/>
      <c r="N23" s="27"/>
      <c r="O23" s="28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x14ac:dyDescent="0.25">
      <c r="A24" s="6" t="s">
        <v>122</v>
      </c>
      <c r="B24" s="6" t="s">
        <v>123</v>
      </c>
      <c r="C24" s="11">
        <v>191573.51</v>
      </c>
      <c r="D24" s="11">
        <v>136696.5</v>
      </c>
      <c r="E24" s="11">
        <v>147039.48000000001</v>
      </c>
      <c r="F24" s="11">
        <v>141756</v>
      </c>
      <c r="G24" s="65">
        <v>1630832.0924099998</v>
      </c>
      <c r="H24" s="65">
        <v>1688237.3820628317</v>
      </c>
      <c r="I24" s="11">
        <f t="shared" si="0"/>
        <v>1747663.3379114431</v>
      </c>
      <c r="J24" s="11">
        <f t="shared" si="1"/>
        <v>1807083.8914004322</v>
      </c>
      <c r="K24" s="11">
        <f t="shared" si="2"/>
        <v>1864910.5759252461</v>
      </c>
      <c r="L24" s="11">
        <f t="shared" si="3"/>
        <v>1929129.4366343434</v>
      </c>
      <c r="M24" s="68"/>
      <c r="N24" s="27"/>
      <c r="O24" s="28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spans="1:28" x14ac:dyDescent="0.25">
      <c r="A25" s="6" t="s">
        <v>124</v>
      </c>
      <c r="B25" s="6" t="s">
        <v>125</v>
      </c>
      <c r="C25" s="11">
        <v>60346</v>
      </c>
      <c r="D25" s="11">
        <v>43663.6</v>
      </c>
      <c r="E25" s="11">
        <v>13744.48</v>
      </c>
      <c r="F25" s="11">
        <v>133433.44</v>
      </c>
      <c r="G25" s="65">
        <v>809517.32363999984</v>
      </c>
      <c r="H25" s="65">
        <v>838012.33343212772</v>
      </c>
      <c r="I25" s="11">
        <f t="shared" si="0"/>
        <v>867510.36756893853</v>
      </c>
      <c r="J25" s="11">
        <f t="shared" si="1"/>
        <v>897005.72006628243</v>
      </c>
      <c r="K25" s="11">
        <f t="shared" si="2"/>
        <v>925709.90310840355</v>
      </c>
      <c r="L25" s="11">
        <f t="shared" si="3"/>
        <v>957587.05373009283</v>
      </c>
      <c r="M25" s="68"/>
      <c r="N25" s="27"/>
      <c r="O25" s="28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8" x14ac:dyDescent="0.25">
      <c r="A26" s="6" t="s">
        <v>126</v>
      </c>
      <c r="B26" s="6" t="s">
        <v>127</v>
      </c>
      <c r="C26" s="11">
        <v>384465.7</v>
      </c>
      <c r="D26" s="11">
        <v>431818.5</v>
      </c>
      <c r="E26" s="11">
        <v>692445.3</v>
      </c>
      <c r="F26" s="11">
        <v>801587.82</v>
      </c>
      <c r="G26" s="65">
        <v>821666.09977999993</v>
      </c>
      <c r="H26" s="65">
        <v>850588.74649225583</v>
      </c>
      <c r="I26" s="11">
        <f t="shared" si="0"/>
        <v>880529.47036878311</v>
      </c>
      <c r="J26" s="11">
        <f t="shared" si="1"/>
        <v>910467.47236132179</v>
      </c>
      <c r="K26" s="11">
        <f t="shared" si="2"/>
        <v>939602.43147688417</v>
      </c>
      <c r="L26" s="11">
        <f t="shared" si="3"/>
        <v>971957.97626701766</v>
      </c>
      <c r="M26" s="68"/>
      <c r="N26" s="27"/>
      <c r="O26" s="28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x14ac:dyDescent="0.25">
      <c r="A27" s="6" t="s">
        <v>128</v>
      </c>
      <c r="B27" s="6" t="s">
        <v>129</v>
      </c>
      <c r="C27" s="11">
        <v>925789.1</v>
      </c>
      <c r="D27" s="11">
        <v>1062166.3799999999</v>
      </c>
      <c r="E27" s="11">
        <v>1459584.01</v>
      </c>
      <c r="F27" s="11">
        <v>1215246.8900000001</v>
      </c>
      <c r="G27" s="65">
        <v>1235659.6525999999</v>
      </c>
      <c r="H27" s="65">
        <v>1279154.8723715197</v>
      </c>
      <c r="I27" s="11">
        <f t="shared" si="0"/>
        <v>1324181.1238789971</v>
      </c>
      <c r="J27" s="11">
        <f t="shared" si="1"/>
        <v>1369203.282090883</v>
      </c>
      <c r="K27" s="11">
        <f t="shared" si="2"/>
        <v>1413017.7871177914</v>
      </c>
      <c r="L27" s="11">
        <f t="shared" si="3"/>
        <v>1461675.5584993353</v>
      </c>
      <c r="M27" s="68"/>
      <c r="N27" s="27"/>
      <c r="O27" s="28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spans="1:28" x14ac:dyDescent="0.25">
      <c r="A28" s="6" t="s">
        <v>130</v>
      </c>
      <c r="B28" s="6" t="s">
        <v>131</v>
      </c>
      <c r="C28" s="11">
        <v>1042976.7</v>
      </c>
      <c r="D28" s="11">
        <v>668016.64000000001</v>
      </c>
      <c r="E28" s="11">
        <v>740731.34</v>
      </c>
      <c r="F28" s="11">
        <v>1233362.8500000001</v>
      </c>
      <c r="G28" s="65">
        <v>1750178.1075799996</v>
      </c>
      <c r="H28" s="65">
        <v>1811784.3769668154</v>
      </c>
      <c r="I28" s="11">
        <f t="shared" si="0"/>
        <v>1875559.1870360472</v>
      </c>
      <c r="J28" s="11">
        <f t="shared" si="1"/>
        <v>1939328.1993952729</v>
      </c>
      <c r="K28" s="11">
        <f t="shared" si="2"/>
        <v>2001386.7017759217</v>
      </c>
      <c r="L28" s="11">
        <f t="shared" si="3"/>
        <v>2070305.1665460735</v>
      </c>
      <c r="M28" s="68"/>
      <c r="N28" s="27"/>
      <c r="O28" s="28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  <row r="29" spans="1:28" x14ac:dyDescent="0.25">
      <c r="A29" s="6" t="s">
        <v>132</v>
      </c>
      <c r="B29" s="6" t="s">
        <v>133</v>
      </c>
      <c r="C29" s="11">
        <v>184520</v>
      </c>
      <c r="D29" s="11">
        <v>203744</v>
      </c>
      <c r="E29" s="11">
        <v>272695.88</v>
      </c>
      <c r="F29" s="11">
        <v>395372.74</v>
      </c>
      <c r="G29" s="11">
        <v>1644270.9688000001</v>
      </c>
      <c r="H29" s="11">
        <v>1702149.3069017599</v>
      </c>
      <c r="I29" s="11">
        <f t="shared" si="0"/>
        <v>1762064.9625047017</v>
      </c>
      <c r="J29" s="11">
        <f t="shared" si="1"/>
        <v>1821975.1712298617</v>
      </c>
      <c r="K29" s="11">
        <f t="shared" si="2"/>
        <v>1880278.3767092172</v>
      </c>
      <c r="L29" s="11">
        <f t="shared" si="3"/>
        <v>1945026.4331184682</v>
      </c>
      <c r="M29" s="68"/>
      <c r="N29" s="27"/>
      <c r="O29" s="28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1:28" x14ac:dyDescent="0.25">
      <c r="A30" s="6" t="s">
        <v>134</v>
      </c>
      <c r="B30" s="6" t="s">
        <v>135</v>
      </c>
      <c r="C30" s="11">
        <v>383989.78</v>
      </c>
      <c r="D30" s="11">
        <v>590168.47</v>
      </c>
      <c r="E30" s="11">
        <v>678520.62</v>
      </c>
      <c r="F30" s="11">
        <v>860219.73999999987</v>
      </c>
      <c r="G30" s="11">
        <v>903921.56192999985</v>
      </c>
      <c r="H30" s="11">
        <v>935739.60090993578</v>
      </c>
      <c r="I30" s="11">
        <f t="shared" si="0"/>
        <v>968677.63486196543</v>
      </c>
      <c r="J30" s="11">
        <f t="shared" si="1"/>
        <v>1001612.6744472723</v>
      </c>
      <c r="K30" s="11">
        <f t="shared" si="2"/>
        <v>1033664.2800295851</v>
      </c>
      <c r="L30" s="11">
        <f t="shared" si="3"/>
        <v>1069258.8781170861</v>
      </c>
      <c r="M30" s="68"/>
      <c r="N30" s="27"/>
      <c r="O30" s="28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x14ac:dyDescent="0.25">
      <c r="A31" s="6" t="s">
        <v>136</v>
      </c>
      <c r="B31" s="6" t="s">
        <v>137</v>
      </c>
      <c r="C31" s="11">
        <v>42696.160000000003</v>
      </c>
      <c r="D31" s="11">
        <v>133329</v>
      </c>
      <c r="E31" s="11">
        <v>568285.73</v>
      </c>
      <c r="F31" s="11">
        <v>775091.09000000008</v>
      </c>
      <c r="G31" s="11">
        <v>775331.97462999995</v>
      </c>
      <c r="H31" s="11">
        <v>802623.66013697593</v>
      </c>
      <c r="I31" s="11">
        <f t="shared" si="0"/>
        <v>830876.01297379739</v>
      </c>
      <c r="J31" s="11">
        <f t="shared" si="1"/>
        <v>859125.79741490656</v>
      </c>
      <c r="K31" s="11">
        <f t="shared" si="2"/>
        <v>886617.82293218363</v>
      </c>
      <c r="L31" s="11">
        <f t="shared" si="3"/>
        <v>917148.82383276895</v>
      </c>
      <c r="M31" s="68"/>
      <c r="N31" s="27"/>
      <c r="O31" s="28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x14ac:dyDescent="0.25">
      <c r="A32" s="6" t="s">
        <v>138</v>
      </c>
      <c r="B32" s="6" t="s">
        <v>139</v>
      </c>
      <c r="C32" s="11">
        <v>687893.79</v>
      </c>
      <c r="D32" s="11">
        <v>736203.23</v>
      </c>
      <c r="E32" s="11">
        <v>874637.45</v>
      </c>
      <c r="F32" s="11">
        <v>860684.21000000008</v>
      </c>
      <c r="G32" s="11">
        <v>934896.41937999998</v>
      </c>
      <c r="H32" s="11">
        <v>967804.77334217587</v>
      </c>
      <c r="I32" s="11">
        <f t="shared" si="0"/>
        <v>1001871.5013638204</v>
      </c>
      <c r="J32" s="11">
        <f t="shared" si="1"/>
        <v>1035935.1324101903</v>
      </c>
      <c r="K32" s="11">
        <f t="shared" si="2"/>
        <v>1069085.0566473163</v>
      </c>
      <c r="L32" s="11">
        <f t="shared" si="3"/>
        <v>1105899.3818086977</v>
      </c>
      <c r="M32" s="68"/>
      <c r="N32" s="27"/>
      <c r="O32" s="28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x14ac:dyDescent="0.25">
      <c r="A33" s="6" t="s">
        <v>140</v>
      </c>
      <c r="B33" s="6" t="s">
        <v>141</v>
      </c>
      <c r="C33" s="11">
        <v>853225.68</v>
      </c>
      <c r="D33" s="11">
        <v>903324.18</v>
      </c>
      <c r="E33" s="11">
        <v>962862.43</v>
      </c>
      <c r="F33" s="11">
        <v>1105848.3999999999</v>
      </c>
      <c r="G33" s="11">
        <v>1368207.01513</v>
      </c>
      <c r="H33" s="11">
        <v>1416367.9020625758</v>
      </c>
      <c r="I33" s="11">
        <f t="shared" si="0"/>
        <v>1466224.0522151783</v>
      </c>
      <c r="J33" s="11">
        <f t="shared" si="1"/>
        <v>1516075.6699904944</v>
      </c>
      <c r="K33" s="11">
        <f t="shared" si="2"/>
        <v>1564590.0914301903</v>
      </c>
      <c r="L33" s="11">
        <f t="shared" si="3"/>
        <v>1618467.3091614153</v>
      </c>
      <c r="M33" s="68"/>
      <c r="N33" s="27"/>
      <c r="O33" s="28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x14ac:dyDescent="0.25">
      <c r="A34" s="6" t="s">
        <v>142</v>
      </c>
      <c r="B34" s="6" t="s">
        <v>143</v>
      </c>
      <c r="C34" s="11">
        <v>843598.71</v>
      </c>
      <c r="D34" s="11">
        <v>953345.88</v>
      </c>
      <c r="E34" s="11">
        <v>1037365.8</v>
      </c>
      <c r="F34" s="11">
        <v>1099301.46</v>
      </c>
      <c r="G34" s="11">
        <v>1140673.8604499998</v>
      </c>
      <c r="H34" s="11">
        <v>1180825.5803378397</v>
      </c>
      <c r="I34" s="11">
        <f t="shared" si="0"/>
        <v>1222390.6407657315</v>
      </c>
      <c r="J34" s="11">
        <f t="shared" si="1"/>
        <v>1263951.9225517663</v>
      </c>
      <c r="K34" s="11">
        <f t="shared" si="2"/>
        <v>1304398.3840734228</v>
      </c>
      <c r="L34" s="11">
        <f t="shared" si="3"/>
        <v>1349315.8075774547</v>
      </c>
      <c r="M34" s="68"/>
      <c r="N34" s="27"/>
      <c r="O34" s="28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25">
      <c r="A35" s="6" t="s">
        <v>144</v>
      </c>
      <c r="B35" s="6" t="s">
        <v>145</v>
      </c>
      <c r="C35" s="11">
        <v>678548.28</v>
      </c>
      <c r="D35" s="11">
        <v>758082.75</v>
      </c>
      <c r="E35" s="11">
        <v>713259.26</v>
      </c>
      <c r="F35" s="11">
        <v>961548.1</v>
      </c>
      <c r="G35" s="11">
        <v>1247840.1978499996</v>
      </c>
      <c r="H35" s="11">
        <v>1291764.1728143196</v>
      </c>
      <c r="I35" s="11">
        <f t="shared" si="0"/>
        <v>1337234.2716973836</v>
      </c>
      <c r="J35" s="11">
        <f t="shared" si="1"/>
        <v>1382700.2369350947</v>
      </c>
      <c r="K35" s="11">
        <f t="shared" si="2"/>
        <v>1426946.6445170178</v>
      </c>
      <c r="L35" s="11">
        <f t="shared" si="3"/>
        <v>1476084.0610701346</v>
      </c>
      <c r="M35" s="68"/>
      <c r="N35" s="27"/>
      <c r="O35" s="28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6" t="s">
        <v>146</v>
      </c>
      <c r="B36" s="6" t="s">
        <v>147</v>
      </c>
      <c r="C36" s="11">
        <v>1088452</v>
      </c>
      <c r="D36" s="11">
        <v>1141595.1000000001</v>
      </c>
      <c r="E36" s="11">
        <v>1303276</v>
      </c>
      <c r="F36" s="11">
        <v>1358666</v>
      </c>
      <c r="G36" s="11">
        <v>1452588.7134499999</v>
      </c>
      <c r="H36" s="11">
        <v>1503719.8361634398</v>
      </c>
      <c r="I36" s="11">
        <f t="shared" si="0"/>
        <v>1556650.7743963927</v>
      </c>
      <c r="J36" s="11">
        <f t="shared" si="1"/>
        <v>1609576.9007258702</v>
      </c>
      <c r="K36" s="11">
        <f t="shared" si="2"/>
        <v>1661083.361549098</v>
      </c>
      <c r="L36" s="11">
        <f t="shared" si="3"/>
        <v>1718283.3594463679</v>
      </c>
      <c r="M36" s="68"/>
      <c r="N36" s="27"/>
      <c r="O36" s="28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x14ac:dyDescent="0.25">
      <c r="A37" s="6" t="s">
        <v>148</v>
      </c>
      <c r="B37" s="6" t="s">
        <v>149</v>
      </c>
      <c r="C37" s="11">
        <v>553712.4</v>
      </c>
      <c r="D37" s="11">
        <v>596134</v>
      </c>
      <c r="E37" s="11">
        <v>671145</v>
      </c>
      <c r="F37" s="11">
        <v>612962</v>
      </c>
      <c r="G37" s="11">
        <v>735753.26509</v>
      </c>
      <c r="H37" s="11">
        <v>761651.78002116794</v>
      </c>
      <c r="I37" s="11">
        <f t="shared" si="0"/>
        <v>788461.92267791298</v>
      </c>
      <c r="J37" s="11">
        <f t="shared" si="1"/>
        <v>815269.6280489621</v>
      </c>
      <c r="K37" s="11">
        <f t="shared" si="2"/>
        <v>841358.25614652887</v>
      </c>
      <c r="L37" s="11">
        <f t="shared" si="3"/>
        <v>870330.72772528871</v>
      </c>
      <c r="M37" s="68"/>
      <c r="N37" s="27"/>
      <c r="O37" s="28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28" x14ac:dyDescent="0.25">
      <c r="A38" s="6" t="s">
        <v>150</v>
      </c>
      <c r="B38" s="6" t="s">
        <v>151</v>
      </c>
      <c r="C38" s="11">
        <v>528231.55000000005</v>
      </c>
      <c r="D38" s="11">
        <v>632231.27</v>
      </c>
      <c r="E38" s="11">
        <v>470938.03</v>
      </c>
      <c r="F38" s="11">
        <v>706224.79</v>
      </c>
      <c r="G38" s="11">
        <v>2956390.7642700006</v>
      </c>
      <c r="H38" s="11">
        <v>3060455.7191723045</v>
      </c>
      <c r="I38" s="11">
        <f t="shared" si="0"/>
        <v>3168183.7604871695</v>
      </c>
      <c r="J38" s="11">
        <f t="shared" si="1"/>
        <v>3275902.0083437334</v>
      </c>
      <c r="K38" s="11">
        <f t="shared" si="2"/>
        <v>3380730.8726107329</v>
      </c>
      <c r="L38" s="11">
        <f t="shared" si="3"/>
        <v>3497147.5457777125</v>
      </c>
      <c r="M38" s="68"/>
      <c r="N38" s="27"/>
      <c r="O38" s="28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</row>
    <row r="39" spans="1:28" x14ac:dyDescent="0.25">
      <c r="A39" s="6" t="s">
        <v>152</v>
      </c>
      <c r="B39" s="6" t="s">
        <v>153</v>
      </c>
      <c r="C39" s="11">
        <v>134473.59</v>
      </c>
      <c r="D39" s="11">
        <v>1085691.3400000001</v>
      </c>
      <c r="E39" s="11">
        <v>802618.9</v>
      </c>
      <c r="F39" s="11">
        <v>896948.8</v>
      </c>
      <c r="G39" s="11">
        <v>914139.42152000032</v>
      </c>
      <c r="H39" s="11">
        <v>946317.1291575043</v>
      </c>
      <c r="I39" s="11">
        <f t="shared" si="0"/>
        <v>979627.49210384837</v>
      </c>
      <c r="J39" s="11">
        <f t="shared" si="1"/>
        <v>1012934.8268353792</v>
      </c>
      <c r="K39" s="11">
        <f t="shared" si="2"/>
        <v>1045348.7412941114</v>
      </c>
      <c r="L39" s="11">
        <f t="shared" si="3"/>
        <v>1081345.6979719352</v>
      </c>
      <c r="M39" s="68"/>
      <c r="N39" s="27"/>
      <c r="O39" s="28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spans="1:28" ht="16.5" x14ac:dyDescent="0.3">
      <c r="A40" s="6" t="s">
        <v>154</v>
      </c>
      <c r="B40" s="6" t="s">
        <v>155</v>
      </c>
      <c r="C40" s="11">
        <v>766374.32</v>
      </c>
      <c r="D40" s="11">
        <v>845352.91</v>
      </c>
      <c r="E40" s="11">
        <v>996914.33</v>
      </c>
      <c r="F40" s="11">
        <v>1117374.1299999999</v>
      </c>
      <c r="G40" s="11">
        <v>1115701.2139099999</v>
      </c>
      <c r="H40" s="11">
        <v>1154973.8966396318</v>
      </c>
      <c r="I40" s="11">
        <f t="shared" si="0"/>
        <v>1195628.9778013467</v>
      </c>
      <c r="J40" s="11">
        <f t="shared" si="1"/>
        <v>1236280.3630465926</v>
      </c>
      <c r="K40" s="11">
        <f t="shared" si="2"/>
        <v>1275841.3346640836</v>
      </c>
      <c r="L40" s="11">
        <f t="shared" si="3"/>
        <v>1319775.3859882611</v>
      </c>
      <c r="M40" s="68"/>
      <c r="N40" s="27"/>
      <c r="O40" s="26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1:28" s="2" customFormat="1" ht="23.25" customHeight="1" x14ac:dyDescent="0.3">
      <c r="A41" s="227" t="s">
        <v>156</v>
      </c>
      <c r="B41" s="228"/>
      <c r="C41" s="90">
        <f>SUM(C9:C40)</f>
        <v>22243382.780000001</v>
      </c>
      <c r="D41" s="90">
        <f>SUM(D9:D40)</f>
        <v>25894943.719999999</v>
      </c>
      <c r="E41" s="90">
        <f>SUM(E9:E40)</f>
        <v>29517604.220000003</v>
      </c>
      <c r="F41" s="90">
        <f>SUM(F9:F40)</f>
        <v>35847964.68</v>
      </c>
      <c r="G41" s="90">
        <f t="shared" ref="G41:L41" si="4">SUM(G9:G40)</f>
        <v>45463542.305130005</v>
      </c>
      <c r="H41" s="90">
        <v>47063858.994270563</v>
      </c>
      <c r="I41" s="90">
        <f>SUM(I9:I40)</f>
        <v>48720506.8308689</v>
      </c>
      <c r="J41" s="91">
        <f t="shared" si="4"/>
        <v>50377004.063118443</v>
      </c>
      <c r="K41" s="91">
        <f t="shared" si="4"/>
        <v>51989068.193138219</v>
      </c>
      <c r="L41" s="91">
        <f t="shared" si="4"/>
        <v>53779330.295670658</v>
      </c>
      <c r="M41" s="25"/>
      <c r="N41" s="17"/>
      <c r="O41" s="24"/>
      <c r="P41" s="23"/>
      <c r="Q41" s="23"/>
      <c r="R41" s="23"/>
      <c r="S41" s="23"/>
      <c r="T41" s="23"/>
      <c r="U41" s="23"/>
      <c r="V41" s="23"/>
      <c r="W41" s="22"/>
      <c r="X41" s="22"/>
      <c r="Y41" s="22"/>
      <c r="Z41" s="22"/>
      <c r="AA41" s="22"/>
      <c r="AB41" s="22"/>
    </row>
    <row r="42" spans="1:28" x14ac:dyDescent="0.25">
      <c r="C42" s="16"/>
      <c r="D42" s="16"/>
      <c r="E42" s="16"/>
      <c r="F42" s="16"/>
      <c r="N42" s="21"/>
      <c r="O42" s="15"/>
    </row>
    <row r="43" spans="1:28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20"/>
      <c r="N43" s="19"/>
      <c r="O43" s="13"/>
    </row>
    <row r="44" spans="1:28" x14ac:dyDescent="0.25">
      <c r="C44" s="16"/>
      <c r="D44" s="16"/>
      <c r="E44" s="16"/>
      <c r="F44" s="16"/>
      <c r="G44" s="16"/>
      <c r="N44" s="18"/>
      <c r="O44" s="13"/>
    </row>
    <row r="45" spans="1:28" ht="17.25" x14ac:dyDescent="0.3">
      <c r="A45" s="8" t="s">
        <v>195</v>
      </c>
      <c r="C45" s="16"/>
      <c r="D45" s="16"/>
      <c r="E45" s="16"/>
      <c r="F45" s="16"/>
      <c r="G45" s="16"/>
      <c r="I45" s="16"/>
      <c r="J45" s="16"/>
      <c r="K45" s="16"/>
      <c r="L45" s="16"/>
      <c r="N45" s="17"/>
      <c r="O45" s="13"/>
    </row>
    <row r="46" spans="1:28" ht="16.5" x14ac:dyDescent="0.3">
      <c r="A46" s="2" t="s">
        <v>194</v>
      </c>
      <c r="C46" s="16"/>
      <c r="D46" s="16"/>
      <c r="E46" s="16"/>
      <c r="F46" s="16"/>
      <c r="I46" s="16"/>
      <c r="J46" s="16"/>
      <c r="K46" s="16"/>
      <c r="L46" s="16"/>
      <c r="N46" s="15"/>
      <c r="O46" s="15"/>
    </row>
    <row r="47" spans="1:28" s="12" customFormat="1" ht="23.25" x14ac:dyDescent="0.4">
      <c r="F47" s="107"/>
      <c r="G47" s="108" t="s">
        <v>259</v>
      </c>
      <c r="I47" s="108" t="s">
        <v>260</v>
      </c>
      <c r="L47" s="98" t="s">
        <v>193</v>
      </c>
      <c r="N47" s="13"/>
      <c r="O47" s="13"/>
    </row>
    <row r="48" spans="1:28" s="12" customFormat="1" x14ac:dyDescent="0.25">
      <c r="N48" s="13"/>
      <c r="O48" s="13"/>
    </row>
    <row r="49" spans="1:12" s="2" customFormat="1" ht="24.75" customHeight="1" x14ac:dyDescent="0.3">
      <c r="A49" s="229" t="s">
        <v>192</v>
      </c>
      <c r="B49" s="229"/>
      <c r="C49" s="89">
        <v>2009</v>
      </c>
      <c r="D49" s="89">
        <v>2010</v>
      </c>
      <c r="E49" s="89">
        <v>2011</v>
      </c>
      <c r="F49" s="89">
        <v>2012</v>
      </c>
      <c r="G49" s="89">
        <v>2013</v>
      </c>
      <c r="H49" s="89">
        <v>2014</v>
      </c>
      <c r="I49" s="89">
        <v>2015</v>
      </c>
      <c r="J49" s="89">
        <v>2016</v>
      </c>
      <c r="K49" s="89">
        <v>2017</v>
      </c>
      <c r="L49" s="89">
        <v>2018</v>
      </c>
    </row>
    <row r="50" spans="1:12" x14ac:dyDescent="0.25">
      <c r="A50" s="6" t="s">
        <v>92</v>
      </c>
      <c r="B50" s="6" t="s">
        <v>93</v>
      </c>
      <c r="C50" s="11">
        <v>786965.1</v>
      </c>
      <c r="D50" s="11">
        <v>900513.1</v>
      </c>
      <c r="E50" s="11">
        <v>1014167.74</v>
      </c>
      <c r="F50" s="11">
        <v>1107715.76</v>
      </c>
      <c r="G50" s="10">
        <v>1178363.2960000001</v>
      </c>
      <c r="H50" s="10">
        <v>1250514.2760000001</v>
      </c>
      <c r="I50" s="99">
        <v>1359567.8250000002</v>
      </c>
      <c r="J50" s="10">
        <v>1340099.9182389348</v>
      </c>
      <c r="K50" s="10">
        <v>1387271.4353609451</v>
      </c>
      <c r="L50" s="10">
        <v>1436103.3898856502</v>
      </c>
    </row>
    <row r="51" spans="1:12" x14ac:dyDescent="0.25">
      <c r="A51" s="6" t="s">
        <v>94</v>
      </c>
      <c r="B51" s="6" t="s">
        <v>95</v>
      </c>
      <c r="C51" s="11">
        <v>1035862.87</v>
      </c>
      <c r="D51" s="11">
        <v>1128160.58</v>
      </c>
      <c r="E51" s="11">
        <v>1301223.25</v>
      </c>
      <c r="F51" s="11">
        <v>1550101.8000000003</v>
      </c>
      <c r="G51" s="10">
        <v>1584703.274</v>
      </c>
      <c r="H51" s="10">
        <v>1680466.452</v>
      </c>
      <c r="I51" s="99">
        <v>1825834.5060000001</v>
      </c>
      <c r="J51" s="10">
        <v>1800853.4553734858</v>
      </c>
      <c r="K51" s="10">
        <v>1864243.4970026324</v>
      </c>
      <c r="L51" s="10">
        <v>1929864.8680971251</v>
      </c>
    </row>
    <row r="52" spans="1:12" x14ac:dyDescent="0.25">
      <c r="A52" s="6" t="s">
        <v>96</v>
      </c>
      <c r="B52" s="6" t="s">
        <v>97</v>
      </c>
      <c r="C52" s="11">
        <v>518487.75</v>
      </c>
      <c r="D52" s="11">
        <v>559405.81000000006</v>
      </c>
      <c r="E52" s="11">
        <v>636733.01</v>
      </c>
      <c r="F52" s="11">
        <v>743017.83</v>
      </c>
      <c r="G52" s="10">
        <v>760848.39500000002</v>
      </c>
      <c r="H52" s="10">
        <v>803942.56499999994</v>
      </c>
      <c r="I52" s="99">
        <v>871222.64199999988</v>
      </c>
      <c r="J52" s="10">
        <v>861536.23857173754</v>
      </c>
      <c r="K52" s="10">
        <v>891862.31416946254</v>
      </c>
      <c r="L52" s="10">
        <v>923255.86762822745</v>
      </c>
    </row>
    <row r="53" spans="1:12" x14ac:dyDescent="0.25">
      <c r="A53" s="6" t="s">
        <v>98</v>
      </c>
      <c r="B53" s="6" t="s">
        <v>99</v>
      </c>
      <c r="C53" s="11">
        <v>827781</v>
      </c>
      <c r="D53" s="11">
        <v>891790</v>
      </c>
      <c r="E53" s="11">
        <v>997935</v>
      </c>
      <c r="F53" s="11">
        <v>1123379</v>
      </c>
      <c r="G53" s="10">
        <v>1142939.8330000001</v>
      </c>
      <c r="H53" s="10">
        <v>1208771.699</v>
      </c>
      <c r="I53" s="99">
        <v>1297116.2480000001</v>
      </c>
      <c r="J53" s="10">
        <v>1295366.9430955288</v>
      </c>
      <c r="K53" s="10">
        <v>1340963.8594924912</v>
      </c>
      <c r="L53" s="10">
        <v>1388165.7873466269</v>
      </c>
    </row>
    <row r="54" spans="1:12" x14ac:dyDescent="0.25">
      <c r="A54" s="6" t="s">
        <v>100</v>
      </c>
      <c r="B54" s="6" t="s">
        <v>101</v>
      </c>
      <c r="C54" s="11">
        <v>852668</v>
      </c>
      <c r="D54" s="11">
        <v>903816</v>
      </c>
      <c r="E54" s="11">
        <v>993412.13</v>
      </c>
      <c r="F54" s="11">
        <v>1151307.9800000002</v>
      </c>
      <c r="G54" s="10">
        <v>1324634.74</v>
      </c>
      <c r="H54" s="10">
        <v>1400236.6529999999</v>
      </c>
      <c r="I54" s="99">
        <v>1515368.4249999998</v>
      </c>
      <c r="J54" s="10">
        <v>1500548.2625937329</v>
      </c>
      <c r="K54" s="10">
        <v>1553367.5614370322</v>
      </c>
      <c r="L54" s="10">
        <v>1608046.0995996154</v>
      </c>
    </row>
    <row r="55" spans="1:12" x14ac:dyDescent="0.25">
      <c r="A55" s="6" t="s">
        <v>102</v>
      </c>
      <c r="B55" s="6" t="s">
        <v>103</v>
      </c>
      <c r="C55" s="11">
        <v>701279.6</v>
      </c>
      <c r="D55" s="11">
        <v>749109.3</v>
      </c>
      <c r="E55" s="11">
        <v>861963.6</v>
      </c>
      <c r="F55" s="11">
        <v>1005516.7999999999</v>
      </c>
      <c r="G55" s="10">
        <v>1020381.07</v>
      </c>
      <c r="H55" s="10">
        <v>1082955.2390000001</v>
      </c>
      <c r="I55" s="99">
        <v>1172573.9080000001</v>
      </c>
      <c r="J55" s="10">
        <v>1160537.1126849307</v>
      </c>
      <c r="K55" s="10">
        <v>1201388.0190514398</v>
      </c>
      <c r="L55" s="10">
        <v>1243676.8773220503</v>
      </c>
    </row>
    <row r="56" spans="1:12" x14ac:dyDescent="0.25">
      <c r="A56" s="6" t="s">
        <v>104</v>
      </c>
      <c r="B56" s="6" t="s">
        <v>105</v>
      </c>
      <c r="C56" s="11">
        <v>2139835.63</v>
      </c>
      <c r="D56" s="11">
        <v>2229054.36</v>
      </c>
      <c r="E56" s="11">
        <v>2515099.31</v>
      </c>
      <c r="F56" s="11">
        <v>2922075.3799999994</v>
      </c>
      <c r="G56" s="10">
        <v>3157293.5780000002</v>
      </c>
      <c r="H56" s="10">
        <v>3365256.5210000002</v>
      </c>
      <c r="I56" s="99">
        <v>3611409.9069999997</v>
      </c>
      <c r="J56" s="10">
        <v>3606340.2675181795</v>
      </c>
      <c r="K56" s="10">
        <v>3733283.4449348198</v>
      </c>
      <c r="L56" s="10">
        <v>3864695.0221965243</v>
      </c>
    </row>
    <row r="57" spans="1:12" x14ac:dyDescent="0.25">
      <c r="A57" s="6" t="s">
        <v>106</v>
      </c>
      <c r="B57" s="6" t="s">
        <v>107</v>
      </c>
      <c r="C57" s="11">
        <v>1320872</v>
      </c>
      <c r="D57" s="11">
        <v>1393226</v>
      </c>
      <c r="E57" s="11">
        <v>1560789</v>
      </c>
      <c r="F57" s="11">
        <v>1718651</v>
      </c>
      <c r="G57" s="10">
        <v>1758181.915</v>
      </c>
      <c r="H57" s="10">
        <v>1860723.3770000001</v>
      </c>
      <c r="I57" s="99">
        <v>2040050.5290000001</v>
      </c>
      <c r="J57" s="10">
        <v>1994023.8134338376</v>
      </c>
      <c r="K57" s="10">
        <v>2064213.451666709</v>
      </c>
      <c r="L57" s="10">
        <v>2136873.7651653769</v>
      </c>
    </row>
    <row r="58" spans="1:12" x14ac:dyDescent="0.25">
      <c r="A58" s="6" t="s">
        <v>108</v>
      </c>
      <c r="B58" s="6" t="s">
        <v>109</v>
      </c>
      <c r="C58" s="11">
        <v>2566430.7999999998</v>
      </c>
      <c r="D58" s="11">
        <v>2639380</v>
      </c>
      <c r="E58" s="11">
        <v>3291613.4</v>
      </c>
      <c r="F58" s="11">
        <v>3320603.3400000003</v>
      </c>
      <c r="G58" s="10">
        <v>3459968.8259999999</v>
      </c>
      <c r="H58" s="10">
        <v>3656942.497</v>
      </c>
      <c r="I58" s="99">
        <v>3840159.273</v>
      </c>
      <c r="J58" s="10">
        <v>3918922.3468202818</v>
      </c>
      <c r="K58" s="10">
        <v>4056868.413428355</v>
      </c>
      <c r="L58" s="10">
        <v>4199670.1815810334</v>
      </c>
    </row>
    <row r="59" spans="1:12" x14ac:dyDescent="0.25">
      <c r="A59" s="6" t="s">
        <v>110</v>
      </c>
      <c r="B59" s="6" t="s">
        <v>111</v>
      </c>
      <c r="C59" s="11">
        <v>1167313.93</v>
      </c>
      <c r="D59" s="11">
        <v>1238904.46</v>
      </c>
      <c r="E59" s="11">
        <v>1415937.31</v>
      </c>
      <c r="F59" s="11">
        <v>1502390.4800000002</v>
      </c>
      <c r="G59" s="10">
        <v>1537326.1640000001</v>
      </c>
      <c r="H59" s="10">
        <v>1624039.385</v>
      </c>
      <c r="I59" s="99">
        <v>1748897.6809999999</v>
      </c>
      <c r="J59" s="10">
        <v>1740384.0074635902</v>
      </c>
      <c r="K59" s="10">
        <v>1801645.5245263083</v>
      </c>
      <c r="L59" s="10">
        <v>1865063.4469896345</v>
      </c>
    </row>
    <row r="60" spans="1:12" x14ac:dyDescent="0.25">
      <c r="A60" s="6" t="s">
        <v>112</v>
      </c>
      <c r="B60" s="6" t="s">
        <v>113</v>
      </c>
      <c r="C60" s="11">
        <v>1657896.2</v>
      </c>
      <c r="D60" s="11">
        <v>1683325</v>
      </c>
      <c r="E60" s="11">
        <v>1882372.12</v>
      </c>
      <c r="F60" s="11">
        <v>2199085.5099999993</v>
      </c>
      <c r="G60" s="10">
        <v>2296762.4789999998</v>
      </c>
      <c r="H60" s="10">
        <v>2450397.3840000001</v>
      </c>
      <c r="I60" s="99">
        <v>2634186.9880000004</v>
      </c>
      <c r="J60" s="10">
        <v>2625941.5002082712</v>
      </c>
      <c r="K60" s="10">
        <v>2718374.6410156018</v>
      </c>
      <c r="L60" s="10">
        <v>2814061.4283793503</v>
      </c>
    </row>
    <row r="61" spans="1:12" x14ac:dyDescent="0.25">
      <c r="A61" s="6" t="s">
        <v>114</v>
      </c>
      <c r="B61" s="6" t="s">
        <v>115</v>
      </c>
      <c r="C61" s="11">
        <v>2881408.92</v>
      </c>
      <c r="D61" s="11">
        <v>2678987.7799999998</v>
      </c>
      <c r="E61" s="11">
        <v>2852238.93</v>
      </c>
      <c r="F61" s="11">
        <v>2901087.57</v>
      </c>
      <c r="G61" s="10">
        <v>3160467.1189999999</v>
      </c>
      <c r="H61" s="10">
        <v>3344702.8640000001</v>
      </c>
      <c r="I61" s="99">
        <v>3675406.69</v>
      </c>
      <c r="J61" s="10">
        <v>3584314.1662622094</v>
      </c>
      <c r="K61" s="10">
        <v>3710482.0249146386</v>
      </c>
      <c r="L61" s="10">
        <v>3841090.9921916337</v>
      </c>
    </row>
    <row r="62" spans="1:12" x14ac:dyDescent="0.25">
      <c r="A62" s="6" t="s">
        <v>116</v>
      </c>
      <c r="B62" s="6" t="s">
        <v>117</v>
      </c>
      <c r="C62" s="11">
        <v>1537003</v>
      </c>
      <c r="D62" s="11">
        <v>1739195</v>
      </c>
      <c r="E62" s="11">
        <v>1891977</v>
      </c>
      <c r="F62" s="11">
        <v>2069818</v>
      </c>
      <c r="G62" s="10">
        <v>2269445.6260000002</v>
      </c>
      <c r="H62" s="10">
        <v>2408596.452</v>
      </c>
      <c r="I62" s="99">
        <v>2585079.3629999999</v>
      </c>
      <c r="J62" s="10">
        <v>2581145.9895686856</v>
      </c>
      <c r="K62" s="10">
        <v>2672002.3284015027</v>
      </c>
      <c r="L62" s="10">
        <v>2766056.8103612354</v>
      </c>
    </row>
    <row r="63" spans="1:12" x14ac:dyDescent="0.25">
      <c r="A63" s="6" t="s">
        <v>118</v>
      </c>
      <c r="B63" s="6" t="s">
        <v>119</v>
      </c>
      <c r="C63" s="11">
        <v>3053662.82</v>
      </c>
      <c r="D63" s="11">
        <v>3020408.54</v>
      </c>
      <c r="E63" s="11">
        <v>3280654.26</v>
      </c>
      <c r="F63" s="11">
        <v>3536475.37</v>
      </c>
      <c r="G63" s="10">
        <v>3627612.8489999999</v>
      </c>
      <c r="H63" s="10">
        <v>3849429.5950000002</v>
      </c>
      <c r="I63" s="99">
        <v>4121004.3120000004</v>
      </c>
      <c r="J63" s="10">
        <v>4125199.0357333873</v>
      </c>
      <c r="K63" s="10">
        <v>4270406.0417912025</v>
      </c>
      <c r="L63" s="10">
        <v>4420724.3344622524</v>
      </c>
    </row>
    <row r="64" spans="1:12" x14ac:dyDescent="0.25">
      <c r="A64" s="6" t="s">
        <v>120</v>
      </c>
      <c r="B64" s="6" t="s">
        <v>121</v>
      </c>
      <c r="C64" s="11">
        <v>5555300.0199999996</v>
      </c>
      <c r="D64" s="11">
        <v>6021114.0300000003</v>
      </c>
      <c r="E64" s="11">
        <v>6743472.5</v>
      </c>
      <c r="F64" s="11">
        <v>7385070.2899999991</v>
      </c>
      <c r="G64" s="10">
        <v>7569979.068</v>
      </c>
      <c r="H64" s="10">
        <v>8014954.1540000001</v>
      </c>
      <c r="I64" s="99">
        <v>8556576.6380000003</v>
      </c>
      <c r="J64" s="10">
        <v>8589137.7752365731</v>
      </c>
      <c r="K64" s="10">
        <v>8891475.4249248989</v>
      </c>
      <c r="L64" s="10">
        <v>9204455.3598822542</v>
      </c>
    </row>
    <row r="65" spans="1:12" x14ac:dyDescent="0.25">
      <c r="A65" s="6" t="s">
        <v>122</v>
      </c>
      <c r="B65" s="6" t="s">
        <v>123</v>
      </c>
      <c r="C65" s="11">
        <v>2693258.8</v>
      </c>
      <c r="D65" s="11">
        <v>1694234</v>
      </c>
      <c r="E65" s="11">
        <v>1944256.18</v>
      </c>
      <c r="F65" s="11">
        <v>2137361</v>
      </c>
      <c r="G65" s="10">
        <v>2427339.2250000001</v>
      </c>
      <c r="H65" s="10">
        <v>2583164.7990000001</v>
      </c>
      <c r="I65" s="99">
        <v>2778369.0409999997</v>
      </c>
      <c r="J65" s="10">
        <v>2768220.2453621523</v>
      </c>
      <c r="K65" s="10">
        <v>2865661.5979989003</v>
      </c>
      <c r="L65" s="10">
        <v>2966532.886248461</v>
      </c>
    </row>
    <row r="66" spans="1:12" x14ac:dyDescent="0.25">
      <c r="A66" s="6" t="s">
        <v>124</v>
      </c>
      <c r="B66" s="6" t="s">
        <v>125</v>
      </c>
      <c r="C66" s="11">
        <v>840214</v>
      </c>
      <c r="D66" s="11">
        <v>830360.14</v>
      </c>
      <c r="E66" s="11">
        <v>848019.4</v>
      </c>
      <c r="F66" s="11">
        <v>1101143.3999999999</v>
      </c>
      <c r="G66" s="10">
        <v>1229159.0109999999</v>
      </c>
      <c r="H66" s="10">
        <v>1304957.709</v>
      </c>
      <c r="I66" s="99">
        <v>1413300.692</v>
      </c>
      <c r="J66" s="10">
        <v>1398443.6265133591</v>
      </c>
      <c r="K66" s="10">
        <v>1447668.8421666292</v>
      </c>
      <c r="L66" s="10">
        <v>1498626.7854108943</v>
      </c>
    </row>
    <row r="67" spans="1:12" x14ac:dyDescent="0.25">
      <c r="A67" s="6" t="s">
        <v>126</v>
      </c>
      <c r="B67" s="6" t="s">
        <v>127</v>
      </c>
      <c r="C67" s="11">
        <v>719653</v>
      </c>
      <c r="D67" s="11">
        <v>835261.1</v>
      </c>
      <c r="E67" s="11">
        <v>982759.2</v>
      </c>
      <c r="F67" s="11">
        <v>1133854.1299999999</v>
      </c>
      <c r="G67" s="10">
        <v>1163446.5460000001</v>
      </c>
      <c r="H67" s="10">
        <v>1238162.5</v>
      </c>
      <c r="I67" s="99">
        <v>1346661.007</v>
      </c>
      <c r="J67" s="10">
        <v>1326863.2728639999</v>
      </c>
      <c r="K67" s="10">
        <v>1373568.8600688123</v>
      </c>
      <c r="L67" s="10">
        <v>1421918.4839432344</v>
      </c>
    </row>
    <row r="68" spans="1:12" x14ac:dyDescent="0.25">
      <c r="A68" s="6" t="s">
        <v>128</v>
      </c>
      <c r="B68" s="6" t="s">
        <v>129</v>
      </c>
      <c r="C68" s="11">
        <v>1419022.88</v>
      </c>
      <c r="D68" s="11">
        <v>1513485.67</v>
      </c>
      <c r="E68" s="11">
        <v>1633189.29</v>
      </c>
      <c r="F68" s="11">
        <v>1972281.5</v>
      </c>
      <c r="G68" s="10">
        <v>1991010.89</v>
      </c>
      <c r="H68" s="10">
        <v>2104363.75</v>
      </c>
      <c r="I68" s="99">
        <v>2288429.3540000003</v>
      </c>
      <c r="J68" s="10">
        <v>2255118.3488607998</v>
      </c>
      <c r="K68" s="10">
        <v>2334498.5147406994</v>
      </c>
      <c r="L68" s="10">
        <v>2416672.862459572</v>
      </c>
    </row>
    <row r="69" spans="1:12" x14ac:dyDescent="0.25">
      <c r="A69" s="6" t="s">
        <v>130</v>
      </c>
      <c r="B69" s="6" t="s">
        <v>131</v>
      </c>
      <c r="C69" s="11">
        <v>2040057.12</v>
      </c>
      <c r="D69" s="11">
        <v>2186736.14</v>
      </c>
      <c r="E69" s="11">
        <v>2374965.4</v>
      </c>
      <c r="F69" s="11">
        <v>2695091.55</v>
      </c>
      <c r="G69" s="10">
        <v>2746082.7969999998</v>
      </c>
      <c r="H69" s="10">
        <v>2926918.236</v>
      </c>
      <c r="I69" s="99">
        <v>3229261.2050000005</v>
      </c>
      <c r="J69" s="10">
        <v>3136599.8485855325</v>
      </c>
      <c r="K69" s="10">
        <v>3247008.1632557432</v>
      </c>
      <c r="L69" s="10">
        <v>3361302.8506023455</v>
      </c>
    </row>
    <row r="70" spans="1:12" x14ac:dyDescent="0.25">
      <c r="A70" s="6" t="s">
        <v>132</v>
      </c>
      <c r="B70" s="6" t="s">
        <v>133</v>
      </c>
      <c r="C70" s="11">
        <v>1646588</v>
      </c>
      <c r="D70" s="11">
        <v>1707395</v>
      </c>
      <c r="E70" s="11">
        <v>1996839</v>
      </c>
      <c r="F70" s="11">
        <v>2053326.55</v>
      </c>
      <c r="G70" s="10">
        <v>2594182.2429999998</v>
      </c>
      <c r="H70" s="10">
        <v>2772584.8939999999</v>
      </c>
      <c r="I70" s="99">
        <v>2998036.9940000004</v>
      </c>
      <c r="J70" s="10">
        <v>2971210.2141246609</v>
      </c>
      <c r="K70" s="10">
        <v>3075796.8136618491</v>
      </c>
      <c r="L70" s="10">
        <v>3184064.8615027457</v>
      </c>
    </row>
    <row r="71" spans="1:12" x14ac:dyDescent="0.25">
      <c r="A71" s="6" t="s">
        <v>134</v>
      </c>
      <c r="B71" s="6" t="s">
        <v>135</v>
      </c>
      <c r="C71" s="11">
        <v>973907.9</v>
      </c>
      <c r="D71" s="11">
        <v>1034987.45</v>
      </c>
      <c r="E71" s="11">
        <v>1152338.21</v>
      </c>
      <c r="F71" s="11">
        <v>1310741.6899999997</v>
      </c>
      <c r="G71" s="10">
        <v>1342348.2439999999</v>
      </c>
      <c r="H71" s="10">
        <v>1423404.8589999999</v>
      </c>
      <c r="I71" s="99">
        <v>1539772.5630000001</v>
      </c>
      <c r="J71" s="10">
        <v>1525376.2166300952</v>
      </c>
      <c r="K71" s="10">
        <v>1579069.4594554743</v>
      </c>
      <c r="L71" s="10">
        <v>1634652.704428307</v>
      </c>
    </row>
    <row r="72" spans="1:12" x14ac:dyDescent="0.25">
      <c r="A72" s="6" t="s">
        <v>136</v>
      </c>
      <c r="B72" s="6" t="s">
        <v>137</v>
      </c>
      <c r="C72" s="11">
        <v>850133.13</v>
      </c>
      <c r="D72" s="11">
        <v>897921.8</v>
      </c>
      <c r="E72" s="11">
        <v>992330.85</v>
      </c>
      <c r="F72" s="11">
        <v>1106830.6500000001</v>
      </c>
      <c r="G72" s="10">
        <v>1154756.426</v>
      </c>
      <c r="H72" s="10">
        <v>1222356.591</v>
      </c>
      <c r="I72" s="99">
        <v>1307265.0829999999</v>
      </c>
      <c r="J72" s="10">
        <v>1309925.0437169122</v>
      </c>
      <c r="K72" s="10">
        <v>1356034.4052557473</v>
      </c>
      <c r="L72" s="10">
        <v>1403766.8163207497</v>
      </c>
    </row>
    <row r="73" spans="1:12" x14ac:dyDescent="0.25">
      <c r="A73" s="6" t="s">
        <v>138</v>
      </c>
      <c r="B73" s="6" t="s">
        <v>139</v>
      </c>
      <c r="C73" s="11">
        <v>1053704.3700000001</v>
      </c>
      <c r="D73" s="11">
        <v>1139802.2</v>
      </c>
      <c r="E73" s="11">
        <v>1412898.98</v>
      </c>
      <c r="F73" s="11">
        <v>1398089.9600000002</v>
      </c>
      <c r="G73" s="10">
        <v>1474501.2649999999</v>
      </c>
      <c r="H73" s="10">
        <v>1561482.111</v>
      </c>
      <c r="I73" s="99">
        <v>1679687.959</v>
      </c>
      <c r="J73" s="10">
        <v>1673345.1904092131</v>
      </c>
      <c r="K73" s="10">
        <v>1732246.9411116173</v>
      </c>
      <c r="L73" s="10">
        <v>1793222.0334387461</v>
      </c>
    </row>
    <row r="74" spans="1:12" x14ac:dyDescent="0.25">
      <c r="A74" s="6" t="s">
        <v>140</v>
      </c>
      <c r="B74" s="6" t="s">
        <v>141</v>
      </c>
      <c r="C74" s="11">
        <v>1377070.61</v>
      </c>
      <c r="D74" s="11">
        <v>1546493.6</v>
      </c>
      <c r="E74" s="11">
        <v>1725624.55</v>
      </c>
      <c r="F74" s="11">
        <v>1885940.1600000001</v>
      </c>
      <c r="G74" s="10">
        <v>1939628.83</v>
      </c>
      <c r="H74" s="10">
        <v>2061188.4580000001</v>
      </c>
      <c r="I74" s="99">
        <v>2228601.9960000003</v>
      </c>
      <c r="J74" s="10">
        <v>2208850.0203902</v>
      </c>
      <c r="K74" s="10">
        <v>2286601.5411079344</v>
      </c>
      <c r="L74" s="10">
        <v>2367089.9153549336</v>
      </c>
    </row>
    <row r="75" spans="1:12" x14ac:dyDescent="0.25">
      <c r="A75" s="6" t="s">
        <v>142</v>
      </c>
      <c r="B75" s="6" t="s">
        <v>143</v>
      </c>
      <c r="C75" s="11">
        <v>1339722.1200000001</v>
      </c>
      <c r="D75" s="11">
        <v>1416962.96</v>
      </c>
      <c r="E75" s="11">
        <v>1672918.51</v>
      </c>
      <c r="F75" s="11">
        <v>1773470.65</v>
      </c>
      <c r="G75" s="10">
        <v>1743600.4110000001</v>
      </c>
      <c r="H75" s="10">
        <v>1843757.8319999999</v>
      </c>
      <c r="I75" s="99">
        <v>1989850.6310000001</v>
      </c>
      <c r="J75" s="10">
        <v>1975842.8730769611</v>
      </c>
      <c r="K75" s="10">
        <v>2045392.5422092699</v>
      </c>
      <c r="L75" s="10">
        <v>2117390.359695036</v>
      </c>
    </row>
    <row r="76" spans="1:12" x14ac:dyDescent="0.25">
      <c r="A76" s="6" t="s">
        <v>144</v>
      </c>
      <c r="B76" s="6" t="s">
        <v>145</v>
      </c>
      <c r="C76" s="11">
        <v>1180756.71</v>
      </c>
      <c r="D76" s="11">
        <v>1339002.8899999999</v>
      </c>
      <c r="E76" s="11">
        <v>1676829.41</v>
      </c>
      <c r="F76" s="11">
        <v>1803246.07</v>
      </c>
      <c r="G76" s="10">
        <v>1899181.159</v>
      </c>
      <c r="H76" s="10">
        <v>2026768.0619999999</v>
      </c>
      <c r="I76" s="99">
        <v>2169797.4439999997</v>
      </c>
      <c r="J76" s="10">
        <v>2171963.7802643399</v>
      </c>
      <c r="K76" s="10">
        <v>2248416.9053296451</v>
      </c>
      <c r="L76" s="10">
        <v>2327561.1803972479</v>
      </c>
    </row>
    <row r="77" spans="1:12" x14ac:dyDescent="0.25">
      <c r="A77" s="6" t="s">
        <v>146</v>
      </c>
      <c r="B77" s="6" t="s">
        <v>147</v>
      </c>
      <c r="C77" s="11">
        <v>1706745</v>
      </c>
      <c r="D77" s="11">
        <v>1800122</v>
      </c>
      <c r="E77" s="11">
        <v>2002896</v>
      </c>
      <c r="F77" s="11">
        <v>2165126</v>
      </c>
      <c r="G77" s="10">
        <v>2223566.7259999998</v>
      </c>
      <c r="H77" s="10">
        <v>2352278.159</v>
      </c>
      <c r="I77" s="99">
        <v>2530332.1490000007</v>
      </c>
      <c r="J77" s="10">
        <v>2520793.1081237267</v>
      </c>
      <c r="K77" s="10">
        <v>2609525.0255296822</v>
      </c>
      <c r="L77" s="10">
        <v>2701380.3064283268</v>
      </c>
    </row>
    <row r="78" spans="1:12" x14ac:dyDescent="0.25">
      <c r="A78" s="6" t="s">
        <v>148</v>
      </c>
      <c r="B78" s="6" t="s">
        <v>149</v>
      </c>
      <c r="C78" s="11">
        <v>686176.95</v>
      </c>
      <c r="D78" s="11">
        <v>725808</v>
      </c>
      <c r="E78" s="11">
        <v>903307</v>
      </c>
      <c r="F78" s="11">
        <v>976255</v>
      </c>
      <c r="G78" s="10">
        <v>1057000.3959999999</v>
      </c>
      <c r="H78" s="10">
        <v>1126798.0900000001</v>
      </c>
      <c r="I78" s="99">
        <v>1250161.4450000001</v>
      </c>
      <c r="J78" s="10">
        <v>1207520.8234414335</v>
      </c>
      <c r="K78" s="10">
        <v>1250025.5564265719</v>
      </c>
      <c r="L78" s="10">
        <v>1294026.4560127866</v>
      </c>
    </row>
    <row r="79" spans="1:12" x14ac:dyDescent="0.25">
      <c r="A79" s="6" t="s">
        <v>150</v>
      </c>
      <c r="B79" s="6" t="s">
        <v>151</v>
      </c>
      <c r="C79" s="11">
        <v>3134641.76</v>
      </c>
      <c r="D79" s="11">
        <v>3199035.68</v>
      </c>
      <c r="E79" s="11">
        <v>3447953.38</v>
      </c>
      <c r="F79" s="11">
        <v>4135615.88</v>
      </c>
      <c r="G79" s="10">
        <v>4185221.8450000002</v>
      </c>
      <c r="H79" s="10">
        <v>4472986.3449999997</v>
      </c>
      <c r="I79" s="99">
        <v>4937126.3090000004</v>
      </c>
      <c r="J79" s="10">
        <v>4793426.7926889081</v>
      </c>
      <c r="K79" s="10">
        <v>4962155.4157915572</v>
      </c>
      <c r="L79" s="10">
        <v>5136823.2864274196</v>
      </c>
    </row>
    <row r="80" spans="1:12" x14ac:dyDescent="0.25">
      <c r="A80" s="6" t="s">
        <v>152</v>
      </c>
      <c r="B80" s="6" t="s">
        <v>153</v>
      </c>
      <c r="C80" s="11">
        <v>1141541.44</v>
      </c>
      <c r="D80" s="11">
        <v>1177171.04</v>
      </c>
      <c r="E80" s="11">
        <v>1222737.6100000001</v>
      </c>
      <c r="F80" s="11">
        <v>1499832.25</v>
      </c>
      <c r="G80" s="10">
        <v>1375377.1640000001</v>
      </c>
      <c r="H80" s="10">
        <v>1453399.3119999999</v>
      </c>
      <c r="I80" s="99">
        <v>1574468.4429999997</v>
      </c>
      <c r="J80" s="10">
        <v>1557519.4434483403</v>
      </c>
      <c r="K80" s="10">
        <v>1612344.1278577216</v>
      </c>
      <c r="L80" s="10">
        <v>1669098.6411583133</v>
      </c>
    </row>
    <row r="81" spans="1:13" x14ac:dyDescent="0.25">
      <c r="A81" s="6" t="s">
        <v>154</v>
      </c>
      <c r="B81" s="6" t="s">
        <v>155</v>
      </c>
      <c r="C81" s="11">
        <v>1010665.14</v>
      </c>
      <c r="D81" s="11">
        <v>1068897.6399999999</v>
      </c>
      <c r="E81" s="11">
        <v>1246253.6299999999</v>
      </c>
      <c r="F81" s="11">
        <v>1408631.1099999999</v>
      </c>
      <c r="G81" s="10">
        <v>1475791.781</v>
      </c>
      <c r="H81" s="10">
        <v>1568687.327</v>
      </c>
      <c r="I81" s="99">
        <v>1729503.9929999998</v>
      </c>
      <c r="J81" s="10">
        <v>1681066.5811664457</v>
      </c>
      <c r="K81" s="10">
        <v>1740240.1248235044</v>
      </c>
      <c r="L81" s="10">
        <v>1801496.5772172918</v>
      </c>
    </row>
    <row r="82" spans="1:13" s="8" customFormat="1" ht="17.25" x14ac:dyDescent="0.3">
      <c r="A82" s="92"/>
      <c r="B82" s="92" t="s">
        <v>156</v>
      </c>
      <c r="C82" s="93">
        <f>SUM(C50:C81)</f>
        <v>50416626.569999993</v>
      </c>
      <c r="D82" s="93">
        <f>SUM(D50:D81)</f>
        <v>51890067.270000011</v>
      </c>
      <c r="E82" s="93">
        <f>SUM(E50:E81)</f>
        <v>58475705.159999996</v>
      </c>
      <c r="F82" s="93">
        <f>SUM(F50:F81)</f>
        <v>64793133.659999989</v>
      </c>
      <c r="G82" s="93">
        <v>67871103.191</v>
      </c>
      <c r="H82" s="93">
        <v>72045188.147</v>
      </c>
      <c r="I82" s="93">
        <f>SUM(I50:I81)</f>
        <v>77845081.243000001</v>
      </c>
      <c r="J82" s="93">
        <f>+I82*1.0352</f>
        <v>80585228.102753595</v>
      </c>
      <c r="K82" s="93">
        <f>+J82*1.0352</f>
        <v>83421828.13197051</v>
      </c>
      <c r="L82" s="93">
        <f>+K82*1.0352</f>
        <v>86358276.482215866</v>
      </c>
    </row>
    <row r="83" spans="1:13" s="106" customFormat="1" ht="73.5" customHeight="1" x14ac:dyDescent="0.25">
      <c r="C83" s="233" t="s">
        <v>263</v>
      </c>
      <c r="D83" s="233"/>
      <c r="E83" s="233"/>
      <c r="F83" s="233"/>
      <c r="G83" s="106" t="s">
        <v>261</v>
      </c>
      <c r="H83" s="106" t="s">
        <v>261</v>
      </c>
      <c r="I83" s="106" t="s">
        <v>261</v>
      </c>
      <c r="J83" s="234" t="s">
        <v>262</v>
      </c>
      <c r="K83" s="234"/>
      <c r="L83" s="234"/>
      <c r="M83" s="132" t="s">
        <v>276</v>
      </c>
    </row>
    <row r="84" spans="1:13" s="2" customFormat="1" ht="16.5" x14ac:dyDescent="0.3">
      <c r="C84" s="7"/>
      <c r="D84" s="7"/>
      <c r="E84" s="7"/>
      <c r="F84" s="7"/>
    </row>
    <row r="85" spans="1:13" s="2" customFormat="1" ht="17.25" x14ac:dyDescent="0.3">
      <c r="A85" s="8" t="s">
        <v>232</v>
      </c>
      <c r="C85" s="7"/>
      <c r="D85" s="7"/>
      <c r="E85" s="7"/>
      <c r="F85" s="7"/>
    </row>
    <row r="86" spans="1:13" s="2" customFormat="1" ht="17.25" x14ac:dyDescent="0.3">
      <c r="A86" s="8"/>
      <c r="C86" s="7"/>
      <c r="D86" s="7"/>
      <c r="E86" s="7"/>
      <c r="F86" s="7"/>
    </row>
    <row r="87" spans="1:13" ht="16.5" x14ac:dyDescent="0.3">
      <c r="G87" s="2" t="s">
        <v>20</v>
      </c>
    </row>
    <row r="89" spans="1:13" ht="28.5" customHeight="1" x14ac:dyDescent="0.25">
      <c r="A89" s="232" t="s">
        <v>192</v>
      </c>
      <c r="B89" s="232"/>
      <c r="C89" s="232" t="s">
        <v>157</v>
      </c>
      <c r="D89" s="232"/>
      <c r="E89" s="232"/>
      <c r="F89" s="232"/>
      <c r="G89" s="232" t="s">
        <v>158</v>
      </c>
      <c r="H89" s="232"/>
      <c r="I89" s="232"/>
      <c r="J89" s="232"/>
      <c r="K89" s="232"/>
      <c r="L89" s="232"/>
    </row>
    <row r="90" spans="1:13" ht="15.75" customHeight="1" x14ac:dyDescent="0.25">
      <c r="A90" s="232"/>
      <c r="B90" s="232"/>
      <c r="C90" s="94">
        <v>2009</v>
      </c>
      <c r="D90" s="94">
        <v>2010</v>
      </c>
      <c r="E90" s="94">
        <v>2011</v>
      </c>
      <c r="F90" s="94">
        <v>2012</v>
      </c>
      <c r="G90" s="94">
        <v>2013</v>
      </c>
      <c r="H90" s="94">
        <v>2014</v>
      </c>
      <c r="I90" s="94">
        <v>2015</v>
      </c>
      <c r="J90" s="94">
        <v>2016</v>
      </c>
      <c r="K90" s="94">
        <v>2017</v>
      </c>
      <c r="L90" s="94">
        <v>2018</v>
      </c>
    </row>
    <row r="91" spans="1:13" x14ac:dyDescent="0.25">
      <c r="A91" s="6" t="s">
        <v>92</v>
      </c>
      <c r="B91" s="6" t="s">
        <v>93</v>
      </c>
      <c r="C91" s="5">
        <f t="shared" ref="C91:F110" si="5">C9/C50*100</f>
        <v>83.161442610352097</v>
      </c>
      <c r="D91" s="5">
        <f t="shared" si="5"/>
        <v>69.7285958416374</v>
      </c>
      <c r="E91" s="5">
        <f t="shared" si="5"/>
        <v>71.713560914489364</v>
      </c>
      <c r="F91" s="5">
        <f t="shared" si="5"/>
        <v>82.561076859644928</v>
      </c>
      <c r="G91" s="5">
        <f t="shared" ref="G91:L91" si="6">F91-2.926846143</f>
        <v>79.634230716644922</v>
      </c>
      <c r="H91" s="5">
        <f>G91-2.926846143</f>
        <v>76.707384573644916</v>
      </c>
      <c r="I91" s="5">
        <f t="shared" si="6"/>
        <v>73.78053843064491</v>
      </c>
      <c r="J91" s="5">
        <f t="shared" si="6"/>
        <v>70.853692287644904</v>
      </c>
      <c r="K91" s="5">
        <f t="shared" si="6"/>
        <v>67.926846144644898</v>
      </c>
      <c r="L91" s="5">
        <f t="shared" si="6"/>
        <v>65.000000001644892</v>
      </c>
      <c r="M91" s="4"/>
    </row>
    <row r="92" spans="1:13" x14ac:dyDescent="0.25">
      <c r="A92" s="6" t="s">
        <v>94</v>
      </c>
      <c r="B92" s="6" t="s">
        <v>95</v>
      </c>
      <c r="C92" s="5">
        <f t="shared" si="5"/>
        <v>5.8711062787683472</v>
      </c>
      <c r="D92" s="5">
        <f t="shared" si="5"/>
        <v>5.5220649528456311</v>
      </c>
      <c r="E92" s="5">
        <f t="shared" si="5"/>
        <v>57.72608812515454</v>
      </c>
      <c r="F92" s="5">
        <f t="shared" si="5"/>
        <v>12.141012287063981</v>
      </c>
      <c r="G92" s="5">
        <f t="shared" ref="G92:L92" si="7">F92+8.809831285</f>
        <v>20.950843572063981</v>
      </c>
      <c r="H92" s="5">
        <f>G92+8.809831285</f>
        <v>29.760674857063982</v>
      </c>
      <c r="I92" s="5">
        <f t="shared" si="7"/>
        <v>38.570506142063984</v>
      </c>
      <c r="J92" s="5">
        <f t="shared" si="7"/>
        <v>47.380337427063985</v>
      </c>
      <c r="K92" s="5">
        <f t="shared" si="7"/>
        <v>56.190168712063986</v>
      </c>
      <c r="L92" s="5">
        <f t="shared" si="7"/>
        <v>64.999999997063981</v>
      </c>
      <c r="M92" s="4"/>
    </row>
    <row r="93" spans="1:13" x14ac:dyDescent="0.25">
      <c r="A93" s="6" t="s">
        <v>96</v>
      </c>
      <c r="B93" s="6" t="s">
        <v>97</v>
      </c>
      <c r="C93" s="5">
        <f t="shared" si="5"/>
        <v>62.925147219003733</v>
      </c>
      <c r="D93" s="5">
        <f t="shared" si="5"/>
        <v>66.081460612645401</v>
      </c>
      <c r="E93" s="5">
        <f t="shared" si="5"/>
        <v>69.710547910811158</v>
      </c>
      <c r="F93" s="5">
        <f t="shared" si="5"/>
        <v>71.25963854730108</v>
      </c>
      <c r="G93" s="5">
        <f t="shared" ref="G93:L93" si="8">F93-1.043273091</f>
        <v>70.216365456301077</v>
      </c>
      <c r="H93" s="5">
        <f>G93-1.043273091</f>
        <v>69.173092365301073</v>
      </c>
      <c r="I93" s="5">
        <f t="shared" si="8"/>
        <v>68.12981927430107</v>
      </c>
      <c r="J93" s="5">
        <f t="shared" si="8"/>
        <v>67.086546183301067</v>
      </c>
      <c r="K93" s="5">
        <f t="shared" si="8"/>
        <v>66.043273092301064</v>
      </c>
      <c r="L93" s="5">
        <f t="shared" si="8"/>
        <v>65.000000001301061</v>
      </c>
      <c r="M93" s="4"/>
    </row>
    <row r="94" spans="1:13" x14ac:dyDescent="0.25">
      <c r="A94" s="6" t="s">
        <v>98</v>
      </c>
      <c r="B94" s="6" t="s">
        <v>99</v>
      </c>
      <c r="C94" s="5">
        <f t="shared" si="5"/>
        <v>93.692293009866134</v>
      </c>
      <c r="D94" s="5">
        <f t="shared" si="5"/>
        <v>76.749346819318447</v>
      </c>
      <c r="E94" s="5">
        <f t="shared" si="5"/>
        <v>73.474424686978608</v>
      </c>
      <c r="F94" s="5">
        <f t="shared" si="5"/>
        <v>86.83026832440342</v>
      </c>
      <c r="G94" s="5">
        <f t="shared" ref="G94:L94" si="9">F94-3.638378054</f>
        <v>83.19189027040342</v>
      </c>
      <c r="H94" s="5">
        <f>G94-3.638378054</f>
        <v>79.553512216403419</v>
      </c>
      <c r="I94" s="5">
        <f t="shared" si="9"/>
        <v>75.915134162403419</v>
      </c>
      <c r="J94" s="5">
        <f t="shared" si="9"/>
        <v>72.276756108403418</v>
      </c>
      <c r="K94" s="5">
        <f t="shared" si="9"/>
        <v>68.638378054403418</v>
      </c>
      <c r="L94" s="5">
        <f t="shared" si="9"/>
        <v>65.000000000403418</v>
      </c>
      <c r="M94" s="4"/>
    </row>
    <row r="95" spans="1:13" x14ac:dyDescent="0.25">
      <c r="A95" s="6" t="s">
        <v>100</v>
      </c>
      <c r="B95" s="6" t="s">
        <v>101</v>
      </c>
      <c r="C95" s="5">
        <f t="shared" si="5"/>
        <v>65.367294187186573</v>
      </c>
      <c r="D95" s="5">
        <f t="shared" si="5"/>
        <v>81.021358329571498</v>
      </c>
      <c r="E95" s="5">
        <f t="shared" si="5"/>
        <v>69.126460132915838</v>
      </c>
      <c r="F95" s="5">
        <f t="shared" si="5"/>
        <v>70.574064812787967</v>
      </c>
      <c r="G95" s="5">
        <f t="shared" ref="G95:L95" si="10">F95-0.929010802</f>
        <v>69.645054010787973</v>
      </c>
      <c r="H95" s="5">
        <f>G95-0.929010802</f>
        <v>68.71604320878798</v>
      </c>
      <c r="I95" s="5">
        <f t="shared" si="10"/>
        <v>67.787032406787986</v>
      </c>
      <c r="J95" s="5">
        <f t="shared" si="10"/>
        <v>66.858021604787993</v>
      </c>
      <c r="K95" s="5">
        <f t="shared" si="10"/>
        <v>65.929010802788</v>
      </c>
      <c r="L95" s="5">
        <f t="shared" si="10"/>
        <v>65.000000000788006</v>
      </c>
      <c r="M95" s="4"/>
    </row>
    <row r="96" spans="1:13" x14ac:dyDescent="0.25">
      <c r="A96" s="6" t="s">
        <v>102</v>
      </c>
      <c r="B96" s="6" t="s">
        <v>103</v>
      </c>
      <c r="C96" s="5">
        <f t="shared" si="5"/>
        <v>88.978447398156163</v>
      </c>
      <c r="D96" s="5">
        <f t="shared" si="5"/>
        <v>61.276024740314924</v>
      </c>
      <c r="E96" s="5">
        <f t="shared" si="5"/>
        <v>52.132155000512782</v>
      </c>
      <c r="F96" s="5">
        <f t="shared" si="5"/>
        <v>12.948953214904019</v>
      </c>
      <c r="G96" s="5">
        <f t="shared" ref="G96:L96" si="11">F96+8.675174464</f>
        <v>21.624127678904017</v>
      </c>
      <c r="H96" s="5">
        <f>G96+8.675174464</f>
        <v>30.299302142904018</v>
      </c>
      <c r="I96" s="5">
        <f t="shared" si="11"/>
        <v>38.97447660690402</v>
      </c>
      <c r="J96" s="5">
        <f t="shared" si="11"/>
        <v>47.649651070904021</v>
      </c>
      <c r="K96" s="5">
        <f t="shared" si="11"/>
        <v>56.324825534904022</v>
      </c>
      <c r="L96" s="5">
        <f t="shared" si="11"/>
        <v>64.999999998904016</v>
      </c>
      <c r="M96" s="4"/>
    </row>
    <row r="97" spans="1:13" x14ac:dyDescent="0.25">
      <c r="A97" s="6" t="s">
        <v>104</v>
      </c>
      <c r="B97" s="6" t="s">
        <v>105</v>
      </c>
      <c r="C97" s="5">
        <f t="shared" si="5"/>
        <v>63.579530638995863</v>
      </c>
      <c r="D97" s="5">
        <f t="shared" si="5"/>
        <v>65.042963330871856</v>
      </c>
      <c r="E97" s="5">
        <f t="shared" si="5"/>
        <v>67.142497049152311</v>
      </c>
      <c r="F97" s="5">
        <f t="shared" si="5"/>
        <v>67.056896389852909</v>
      </c>
      <c r="G97" s="5">
        <f t="shared" ref="G97:L97" si="12">F97-0.342816065</f>
        <v>66.714080324852915</v>
      </c>
      <c r="H97" s="5">
        <f>G97-0.342816065</f>
        <v>66.371264259852921</v>
      </c>
      <c r="I97" s="5">
        <f t="shared" si="12"/>
        <v>66.028448194852928</v>
      </c>
      <c r="J97" s="5">
        <f t="shared" si="12"/>
        <v>65.685632129852934</v>
      </c>
      <c r="K97" s="5">
        <f t="shared" si="12"/>
        <v>65.34281606485294</v>
      </c>
      <c r="L97" s="5">
        <f t="shared" si="12"/>
        <v>64.999999999852946</v>
      </c>
      <c r="M97" s="4"/>
    </row>
    <row r="98" spans="1:13" x14ac:dyDescent="0.25">
      <c r="A98" s="6" t="s">
        <v>106</v>
      </c>
      <c r="B98" s="6" t="s">
        <v>107</v>
      </c>
      <c r="C98" s="5">
        <f t="shared" si="5"/>
        <v>9.4429286107965034</v>
      </c>
      <c r="D98" s="5">
        <f t="shared" si="5"/>
        <v>8.6049212403443516</v>
      </c>
      <c r="E98" s="5">
        <f t="shared" si="5"/>
        <v>11.010456890713607</v>
      </c>
      <c r="F98" s="5">
        <f t="shared" si="5"/>
        <v>62.077292015656461</v>
      </c>
      <c r="G98" s="5">
        <f t="shared" ref="G98:L98" si="13">F98+0.487117997</f>
        <v>62.56441001265646</v>
      </c>
      <c r="H98" s="5">
        <f>G98+0.487117997</f>
        <v>63.051528009656458</v>
      </c>
      <c r="I98" s="5">
        <f t="shared" si="13"/>
        <v>63.538646006656457</v>
      </c>
      <c r="J98" s="5">
        <f t="shared" si="13"/>
        <v>64.025764003656462</v>
      </c>
      <c r="K98" s="5">
        <f t="shared" si="13"/>
        <v>64.512882000656461</v>
      </c>
      <c r="L98" s="5">
        <f t="shared" si="13"/>
        <v>64.99999999765646</v>
      </c>
      <c r="M98" s="4"/>
    </row>
    <row r="99" spans="1:13" x14ac:dyDescent="0.25">
      <c r="A99" s="6" t="s">
        <v>108</v>
      </c>
      <c r="B99" s="6" t="s">
        <v>109</v>
      </c>
      <c r="C99" s="5">
        <f t="shared" si="5"/>
        <v>69.691865449869141</v>
      </c>
      <c r="D99" s="5">
        <f t="shared" si="5"/>
        <v>63.669051065022842</v>
      </c>
      <c r="E99" s="5">
        <f t="shared" si="5"/>
        <v>48.260409317813576</v>
      </c>
      <c r="F99" s="5">
        <f t="shared" si="5"/>
        <v>65.980985853010679</v>
      </c>
      <c r="G99" s="5">
        <f t="shared" ref="G99:L99" si="14">F99-0.163497642</f>
        <v>65.817488211010684</v>
      </c>
      <c r="H99" s="5">
        <f>G99-0.163497642</f>
        <v>65.653990569010688</v>
      </c>
      <c r="I99" s="5">
        <f t="shared" si="14"/>
        <v>65.490492927010692</v>
      </c>
      <c r="J99" s="5">
        <f t="shared" si="14"/>
        <v>65.326995285010696</v>
      </c>
      <c r="K99" s="5">
        <f t="shared" si="14"/>
        <v>65.1634976430107</v>
      </c>
      <c r="L99" s="5">
        <f t="shared" si="14"/>
        <v>65.000000001010704</v>
      </c>
      <c r="M99" s="4"/>
    </row>
    <row r="100" spans="1:13" x14ac:dyDescent="0.25">
      <c r="A100" s="6" t="s">
        <v>110</v>
      </c>
      <c r="B100" s="6" t="s">
        <v>111</v>
      </c>
      <c r="C100" s="5">
        <f t="shared" si="5"/>
        <v>9.2115434620059755</v>
      </c>
      <c r="D100" s="5">
        <f t="shared" si="5"/>
        <v>8.0172671264739819</v>
      </c>
      <c r="E100" s="5">
        <f t="shared" si="5"/>
        <v>11.9457061273426</v>
      </c>
      <c r="F100" s="5">
        <f t="shared" si="5"/>
        <v>63.985563193930787</v>
      </c>
      <c r="G100" s="5">
        <f t="shared" ref="G100:L100" si="15">F100+0.169072801</f>
        <v>64.154635994930786</v>
      </c>
      <c r="H100" s="5">
        <f>G100+0.169072801</f>
        <v>64.323708795930784</v>
      </c>
      <c r="I100" s="5">
        <f t="shared" si="15"/>
        <v>64.492781596930783</v>
      </c>
      <c r="J100" s="5">
        <f t="shared" si="15"/>
        <v>64.661854397930782</v>
      </c>
      <c r="K100" s="5">
        <f t="shared" si="15"/>
        <v>64.83092719893078</v>
      </c>
      <c r="L100" s="5">
        <f t="shared" si="15"/>
        <v>64.999999999930779</v>
      </c>
      <c r="M100" s="4"/>
    </row>
    <row r="101" spans="1:13" x14ac:dyDescent="0.25">
      <c r="A101" s="6" t="s">
        <v>112</v>
      </c>
      <c r="B101" s="6" t="s">
        <v>113</v>
      </c>
      <c r="C101" s="5">
        <f t="shared" si="5"/>
        <v>9.6184875747950933</v>
      </c>
      <c r="D101" s="5">
        <f t="shared" si="5"/>
        <v>68.435385323689729</v>
      </c>
      <c r="E101" s="5">
        <f t="shared" si="5"/>
        <v>66.78339774815619</v>
      </c>
      <c r="F101" s="5">
        <f t="shared" si="5"/>
        <v>61.059385544312008</v>
      </c>
      <c r="G101" s="5">
        <f t="shared" ref="G101:L101" si="16">F101+0.656769076</f>
        <v>61.716154620312011</v>
      </c>
      <c r="H101" s="5">
        <f>G101+0.656769076</f>
        <v>62.372923696312014</v>
      </c>
      <c r="I101" s="5">
        <f t="shared" si="16"/>
        <v>63.029692772312018</v>
      </c>
      <c r="J101" s="5">
        <f t="shared" si="16"/>
        <v>63.686461848312021</v>
      </c>
      <c r="K101" s="5">
        <f t="shared" si="16"/>
        <v>64.343230924312024</v>
      </c>
      <c r="L101" s="5">
        <f t="shared" si="16"/>
        <v>65.000000000312028</v>
      </c>
      <c r="M101" s="4"/>
    </row>
    <row r="102" spans="1:13" x14ac:dyDescent="0.25">
      <c r="A102" s="6" t="s">
        <v>114</v>
      </c>
      <c r="B102" s="6" t="s">
        <v>115</v>
      </c>
      <c r="C102" s="5">
        <f t="shared" si="5"/>
        <v>11.287918828265445</v>
      </c>
      <c r="D102" s="5">
        <f t="shared" si="5"/>
        <v>11.287919349897146</v>
      </c>
      <c r="E102" s="5">
        <f t="shared" si="5"/>
        <v>64.553514806699582</v>
      </c>
      <c r="F102" s="5">
        <f t="shared" si="5"/>
        <v>62.220714350928738</v>
      </c>
      <c r="G102" s="5">
        <f t="shared" ref="G102:L102" si="17">F102+0.463214275</f>
        <v>62.683928625928736</v>
      </c>
      <c r="H102" s="5">
        <f>G102+0.463214275</f>
        <v>63.147142900928735</v>
      </c>
      <c r="I102" s="5">
        <f t="shared" si="17"/>
        <v>63.610357175928733</v>
      </c>
      <c r="J102" s="5">
        <f t="shared" si="17"/>
        <v>64.073571450928739</v>
      </c>
      <c r="K102" s="5">
        <f t="shared" si="17"/>
        <v>64.536785725928738</v>
      </c>
      <c r="L102" s="5">
        <f t="shared" si="17"/>
        <v>65.000000000928736</v>
      </c>
      <c r="M102" s="4"/>
    </row>
    <row r="103" spans="1:13" x14ac:dyDescent="0.25">
      <c r="A103" s="6" t="s">
        <v>116</v>
      </c>
      <c r="B103" s="6" t="s">
        <v>117</v>
      </c>
      <c r="C103" s="5">
        <f t="shared" si="5"/>
        <v>94.766633506896213</v>
      </c>
      <c r="D103" s="5">
        <f t="shared" si="5"/>
        <v>65.05986965233916</v>
      </c>
      <c r="E103" s="5">
        <f t="shared" si="5"/>
        <v>9.7481629005003754</v>
      </c>
      <c r="F103" s="5">
        <f t="shared" si="5"/>
        <v>66.111658126463297</v>
      </c>
      <c r="G103" s="5">
        <f t="shared" ref="G103:L103" si="18">F103-0.185276354</f>
        <v>65.926381772463301</v>
      </c>
      <c r="H103" s="5">
        <f>G103-0.185276354</f>
        <v>65.741105418463306</v>
      </c>
      <c r="I103" s="5">
        <f t="shared" si="18"/>
        <v>65.55582906446331</v>
      </c>
      <c r="J103" s="5">
        <f t="shared" si="18"/>
        <v>65.370552710463315</v>
      </c>
      <c r="K103" s="5">
        <f t="shared" si="18"/>
        <v>65.185276356463319</v>
      </c>
      <c r="L103" s="5">
        <f t="shared" si="18"/>
        <v>65.000000002463324</v>
      </c>
      <c r="M103" s="4"/>
    </row>
    <row r="104" spans="1:13" x14ac:dyDescent="0.25">
      <c r="A104" s="6" t="s">
        <v>118</v>
      </c>
      <c r="B104" s="6" t="s">
        <v>119</v>
      </c>
      <c r="C104" s="5">
        <f t="shared" si="5"/>
        <v>51.674256557244924</v>
      </c>
      <c r="D104" s="5">
        <f t="shared" si="5"/>
        <v>51.674256622251505</v>
      </c>
      <c r="E104" s="5">
        <f t="shared" si="5"/>
        <v>66.645330678643361</v>
      </c>
      <c r="F104" s="5">
        <f t="shared" si="5"/>
        <v>66.571634287954907</v>
      </c>
      <c r="G104" s="5">
        <f t="shared" ref="G104:L104" si="19">F104-0.261939048</f>
        <v>66.309695239954905</v>
      </c>
      <c r="H104" s="5">
        <f>G104-0.261939048</f>
        <v>66.047756191954903</v>
      </c>
      <c r="I104" s="5">
        <f t="shared" si="19"/>
        <v>65.785817143954901</v>
      </c>
      <c r="J104" s="5">
        <f t="shared" si="19"/>
        <v>65.523878095954899</v>
      </c>
      <c r="K104" s="5">
        <f t="shared" si="19"/>
        <v>65.261939047954897</v>
      </c>
      <c r="L104" s="5">
        <f t="shared" si="19"/>
        <v>64.999999999954895</v>
      </c>
      <c r="M104" s="4"/>
    </row>
    <row r="105" spans="1:13" x14ac:dyDescent="0.25">
      <c r="A105" s="6" t="s">
        <v>120</v>
      </c>
      <c r="B105" s="6" t="s">
        <v>121</v>
      </c>
      <c r="C105" s="5">
        <f t="shared" si="5"/>
        <v>53.885131302053423</v>
      </c>
      <c r="D105" s="5">
        <f t="shared" si="5"/>
        <v>75.426989712732606</v>
      </c>
      <c r="E105" s="5">
        <f t="shared" si="5"/>
        <v>62.764732561747685</v>
      </c>
      <c r="F105" s="5">
        <f t="shared" si="5"/>
        <v>67.336281236667816</v>
      </c>
      <c r="G105" s="5">
        <f t="shared" ref="G105:L105" si="20">F105-0.389380206</f>
        <v>66.946901030667817</v>
      </c>
      <c r="H105" s="5">
        <f>G105-0.389380206</f>
        <v>66.557520824667819</v>
      </c>
      <c r="I105" s="5">
        <f t="shared" si="20"/>
        <v>66.16814061866782</v>
      </c>
      <c r="J105" s="5">
        <f t="shared" si="20"/>
        <v>65.778760412667822</v>
      </c>
      <c r="K105" s="5">
        <f t="shared" si="20"/>
        <v>65.389380206667823</v>
      </c>
      <c r="L105" s="5">
        <f t="shared" si="20"/>
        <v>65.000000000667825</v>
      </c>
      <c r="M105" s="4"/>
    </row>
    <row r="106" spans="1:13" x14ac:dyDescent="0.25">
      <c r="A106" s="6" t="s">
        <v>122</v>
      </c>
      <c r="B106" s="6" t="s">
        <v>123</v>
      </c>
      <c r="C106" s="5">
        <f t="shared" si="5"/>
        <v>7.1130746885520262</v>
      </c>
      <c r="D106" s="5">
        <f t="shared" si="5"/>
        <v>8.0683364871676524</v>
      </c>
      <c r="E106" s="5">
        <f t="shared" si="5"/>
        <v>7.5627626396435073</v>
      </c>
      <c r="F106" s="5">
        <f t="shared" si="5"/>
        <v>6.6322909419606697</v>
      </c>
      <c r="G106" s="5">
        <f t="shared" ref="G106:L106" si="21">F106+9.72795151</f>
        <v>16.360242451960669</v>
      </c>
      <c r="H106" s="5">
        <f>G106+9.72795151</f>
        <v>26.08819396196067</v>
      </c>
      <c r="I106" s="5">
        <f t="shared" si="21"/>
        <v>35.816145471960667</v>
      </c>
      <c r="J106" s="5">
        <f t="shared" si="21"/>
        <v>45.544096981960664</v>
      </c>
      <c r="K106" s="5">
        <f t="shared" si="21"/>
        <v>55.27204849196066</v>
      </c>
      <c r="L106" s="5">
        <f t="shared" si="21"/>
        <v>65.000000001960657</v>
      </c>
      <c r="M106" s="4"/>
    </row>
    <row r="107" spans="1:13" x14ac:dyDescent="0.25">
      <c r="A107" s="6" t="s">
        <v>124</v>
      </c>
      <c r="B107" s="6" t="s">
        <v>125</v>
      </c>
      <c r="C107" s="5">
        <f t="shared" si="5"/>
        <v>7.1822178635442882</v>
      </c>
      <c r="D107" s="5">
        <f t="shared" si="5"/>
        <v>5.2583930630388878</v>
      </c>
      <c r="E107" s="5">
        <f t="shared" si="5"/>
        <v>1.6207742417213566</v>
      </c>
      <c r="F107" s="5">
        <f t="shared" si="5"/>
        <v>12.117716911348696</v>
      </c>
      <c r="G107" s="5">
        <f t="shared" ref="G107:L107" si="22">F107+8.813713848</f>
        <v>20.931430759348697</v>
      </c>
      <c r="H107" s="5">
        <f>G107+8.813713848</f>
        <v>29.745144607348699</v>
      </c>
      <c r="I107" s="5">
        <f t="shared" si="22"/>
        <v>38.558858455348698</v>
      </c>
      <c r="J107" s="5">
        <f t="shared" si="22"/>
        <v>47.372572303348697</v>
      </c>
      <c r="K107" s="5">
        <f t="shared" si="22"/>
        <v>56.186286151348696</v>
      </c>
      <c r="L107" s="5">
        <f t="shared" si="22"/>
        <v>64.999999999348702</v>
      </c>
      <c r="M107" s="4"/>
    </row>
    <row r="108" spans="1:13" x14ac:dyDescent="0.25">
      <c r="A108" s="6" t="s">
        <v>126</v>
      </c>
      <c r="B108" s="6" t="s">
        <v>127</v>
      </c>
      <c r="C108" s="5">
        <f t="shared" si="5"/>
        <v>53.423761173787923</v>
      </c>
      <c r="D108" s="5">
        <f t="shared" si="5"/>
        <v>51.698624537884022</v>
      </c>
      <c r="E108" s="5">
        <f t="shared" si="5"/>
        <v>70.459304781883503</v>
      </c>
      <c r="F108" s="5">
        <f t="shared" si="5"/>
        <v>70.695850444183677</v>
      </c>
      <c r="G108" s="5">
        <f t="shared" ref="G108:L108" si="23">F108-0.949308407</f>
        <v>69.746542037183673</v>
      </c>
      <c r="H108" s="5">
        <f>G108-0.949308407</f>
        <v>68.797233630183669</v>
      </c>
      <c r="I108" s="5">
        <f t="shared" si="23"/>
        <v>67.847925223183665</v>
      </c>
      <c r="J108" s="5">
        <f t="shared" si="23"/>
        <v>66.898616816183662</v>
      </c>
      <c r="K108" s="5">
        <f t="shared" si="23"/>
        <v>65.949308409183658</v>
      </c>
      <c r="L108" s="5">
        <f t="shared" si="23"/>
        <v>65.000000002183654</v>
      </c>
      <c r="M108" s="4"/>
    </row>
    <row r="109" spans="1:13" x14ac:dyDescent="0.25">
      <c r="A109" s="6" t="s">
        <v>128</v>
      </c>
      <c r="B109" s="6" t="s">
        <v>129</v>
      </c>
      <c r="C109" s="5">
        <f t="shared" si="5"/>
        <v>65.241308864589982</v>
      </c>
      <c r="D109" s="5">
        <f t="shared" si="5"/>
        <v>70.180141183629445</v>
      </c>
      <c r="E109" s="5">
        <f t="shared" si="5"/>
        <v>89.370167863395679</v>
      </c>
      <c r="F109" s="5">
        <f t="shared" si="5"/>
        <v>61.616300208666971</v>
      </c>
      <c r="G109" s="5">
        <f t="shared" ref="G109:L109" si="24">F109+0.563949965</f>
        <v>62.18025017366697</v>
      </c>
      <c r="H109" s="5">
        <f>G109+0.563949965</f>
        <v>62.744200138666969</v>
      </c>
      <c r="I109" s="5">
        <f t="shared" si="24"/>
        <v>63.308150103666968</v>
      </c>
      <c r="J109" s="5">
        <f t="shared" si="24"/>
        <v>63.872100068666967</v>
      </c>
      <c r="K109" s="5">
        <f t="shared" si="24"/>
        <v>64.436050033666973</v>
      </c>
      <c r="L109" s="5">
        <f t="shared" si="24"/>
        <v>64.999999998666979</v>
      </c>
      <c r="M109" s="4"/>
    </row>
    <row r="110" spans="1:13" x14ac:dyDescent="0.25">
      <c r="A110" s="6" t="s">
        <v>130</v>
      </c>
      <c r="B110" s="6" t="s">
        <v>131</v>
      </c>
      <c r="C110" s="5">
        <f t="shared" si="5"/>
        <v>51.124877326964246</v>
      </c>
      <c r="D110" s="5">
        <f t="shared" si="5"/>
        <v>30.54857089433753</v>
      </c>
      <c r="E110" s="5">
        <f t="shared" si="5"/>
        <v>31.189142376558408</v>
      </c>
      <c r="F110" s="5">
        <f t="shared" si="5"/>
        <v>45.763300693811317</v>
      </c>
      <c r="G110" s="5">
        <f t="shared" ref="G110:L110" si="25">F110+3.206116551</f>
        <v>48.969417244811318</v>
      </c>
      <c r="H110" s="5">
        <f>G110+3.206116551</f>
        <v>52.175533795811319</v>
      </c>
      <c r="I110" s="5">
        <f t="shared" si="25"/>
        <v>55.38165034681132</v>
      </c>
      <c r="J110" s="5">
        <f t="shared" si="25"/>
        <v>58.587766897811321</v>
      </c>
      <c r="K110" s="5">
        <f t="shared" si="25"/>
        <v>61.793883448811322</v>
      </c>
      <c r="L110" s="5">
        <f t="shared" si="25"/>
        <v>64.999999999811322</v>
      </c>
      <c r="M110" s="4"/>
    </row>
    <row r="111" spans="1:13" x14ac:dyDescent="0.25">
      <c r="A111" s="6" t="s">
        <v>132</v>
      </c>
      <c r="B111" s="6" t="s">
        <v>133</v>
      </c>
      <c r="C111" s="5">
        <f t="shared" ref="C111:F123" si="26">C29/C70*100</f>
        <v>11.206203373278562</v>
      </c>
      <c r="D111" s="5">
        <f t="shared" si="26"/>
        <v>11.933032485160142</v>
      </c>
      <c r="E111" s="5">
        <f t="shared" si="26"/>
        <v>13.656377905279292</v>
      </c>
      <c r="F111" s="5">
        <f t="shared" si="26"/>
        <v>19.255229520117002</v>
      </c>
      <c r="G111" s="5">
        <f t="shared" ref="G111:L111" si="27">F111+7.624128413</f>
        <v>26.879357933117003</v>
      </c>
      <c r="H111" s="5">
        <f>G111+7.624128413</f>
        <v>34.503486346117</v>
      </c>
      <c r="I111" s="5">
        <f t="shared" si="27"/>
        <v>42.127614759117002</v>
      </c>
      <c r="J111" s="5">
        <f t="shared" si="27"/>
        <v>49.751743172117003</v>
      </c>
      <c r="K111" s="5">
        <f t="shared" si="27"/>
        <v>57.375871585117004</v>
      </c>
      <c r="L111" s="5">
        <f t="shared" si="27"/>
        <v>64.999999998117005</v>
      </c>
      <c r="M111" s="4"/>
    </row>
    <row r="112" spans="1:13" x14ac:dyDescent="0.25">
      <c r="A112" s="6" t="s">
        <v>134</v>
      </c>
      <c r="B112" s="6" t="s">
        <v>135</v>
      </c>
      <c r="C112" s="5">
        <f t="shared" si="26"/>
        <v>39.427730281271977</v>
      </c>
      <c r="D112" s="5">
        <f t="shared" si="26"/>
        <v>57.021799636314427</v>
      </c>
      <c r="E112" s="5">
        <f t="shared" si="26"/>
        <v>58.882072477662618</v>
      </c>
      <c r="F112" s="5">
        <f t="shared" si="26"/>
        <v>65.628471770055626</v>
      </c>
      <c r="G112" s="5">
        <f t="shared" ref="G112:L112" si="28">F112-0.104745295</f>
        <v>65.523726475055625</v>
      </c>
      <c r="H112" s="5">
        <f>G112-0.104745295</f>
        <v>65.418981180055624</v>
      </c>
      <c r="I112" s="5">
        <f t="shared" si="28"/>
        <v>65.314235885055623</v>
      </c>
      <c r="J112" s="5">
        <f t="shared" si="28"/>
        <v>65.209490590055623</v>
      </c>
      <c r="K112" s="5">
        <f t="shared" si="28"/>
        <v>65.104745295055622</v>
      </c>
      <c r="L112" s="5">
        <f t="shared" si="28"/>
        <v>65.000000000055621</v>
      </c>
      <c r="M112" s="4"/>
    </row>
    <row r="113" spans="1:13" x14ac:dyDescent="0.25">
      <c r="A113" s="6" t="s">
        <v>136</v>
      </c>
      <c r="B113" s="6" t="s">
        <v>137</v>
      </c>
      <c r="C113" s="5">
        <f t="shared" si="26"/>
        <v>5.0222910381107013</v>
      </c>
      <c r="D113" s="5">
        <f t="shared" si="26"/>
        <v>14.848620447794007</v>
      </c>
      <c r="E113" s="5">
        <f t="shared" si="26"/>
        <v>57.267768103752893</v>
      </c>
      <c r="F113" s="5">
        <f t="shared" si="26"/>
        <v>70.027974921005296</v>
      </c>
      <c r="G113" s="5">
        <f t="shared" ref="G113:L113" si="29">F113-0.83799582</f>
        <v>69.189979101005292</v>
      </c>
      <c r="H113" s="5">
        <f>G113-0.83799582</f>
        <v>68.351983281005289</v>
      </c>
      <c r="I113" s="5">
        <f t="shared" si="29"/>
        <v>67.513987461005286</v>
      </c>
      <c r="J113" s="5">
        <f t="shared" si="29"/>
        <v>66.675991641005282</v>
      </c>
      <c r="K113" s="5">
        <f t="shared" si="29"/>
        <v>65.837995821005279</v>
      </c>
      <c r="L113" s="5">
        <f t="shared" si="29"/>
        <v>65.000000001005276</v>
      </c>
      <c r="M113" s="4"/>
    </row>
    <row r="114" spans="1:13" x14ac:dyDescent="0.25">
      <c r="A114" s="6" t="s">
        <v>138</v>
      </c>
      <c r="B114" s="6" t="s">
        <v>139</v>
      </c>
      <c r="C114" s="5">
        <f t="shared" si="26"/>
        <v>65.283376399017882</v>
      </c>
      <c r="D114" s="5">
        <f t="shared" si="26"/>
        <v>64.59043770927974</v>
      </c>
      <c r="E114" s="5">
        <f t="shared" si="26"/>
        <v>61.903749834966973</v>
      </c>
      <c r="F114" s="5">
        <f t="shared" si="26"/>
        <v>61.561432713528674</v>
      </c>
      <c r="G114" s="5">
        <f t="shared" ref="G114:L114" si="30">F114+0.573094548</f>
        <v>62.134527261528675</v>
      </c>
      <c r="H114" s="5">
        <f>G114+0.573094548</f>
        <v>62.707621809528675</v>
      </c>
      <c r="I114" s="5">
        <f t="shared" si="30"/>
        <v>63.280716357528675</v>
      </c>
      <c r="J114" s="5">
        <f t="shared" si="30"/>
        <v>63.853810905528675</v>
      </c>
      <c r="K114" s="5">
        <f t="shared" si="30"/>
        <v>64.426905453528676</v>
      </c>
      <c r="L114" s="5">
        <f t="shared" si="30"/>
        <v>65.000000001528676</v>
      </c>
      <c r="M114" s="4"/>
    </row>
    <row r="115" spans="1:13" x14ac:dyDescent="0.25">
      <c r="A115" s="6" t="s">
        <v>140</v>
      </c>
      <c r="B115" s="6" t="s">
        <v>141</v>
      </c>
      <c r="C115" s="5">
        <f t="shared" si="26"/>
        <v>61.959472070934694</v>
      </c>
      <c r="D115" s="5">
        <f t="shared" si="26"/>
        <v>58.41111660597884</v>
      </c>
      <c r="E115" s="5">
        <f t="shared" si="26"/>
        <v>55.797909806046739</v>
      </c>
      <c r="F115" s="5">
        <f t="shared" si="26"/>
        <v>58.636452176722287</v>
      </c>
      <c r="G115" s="5">
        <f t="shared" ref="G115:L115" si="31">F115+1.060591304</f>
        <v>59.697043480722286</v>
      </c>
      <c r="H115" s="5">
        <f>G115+1.060591304</f>
        <v>60.757634784722285</v>
      </c>
      <c r="I115" s="5">
        <f t="shared" si="31"/>
        <v>61.818226088722284</v>
      </c>
      <c r="J115" s="5">
        <f t="shared" si="31"/>
        <v>62.878817392722283</v>
      </c>
      <c r="K115" s="5">
        <f t="shared" si="31"/>
        <v>63.939408696722282</v>
      </c>
      <c r="L115" s="5">
        <f t="shared" si="31"/>
        <v>65.000000000722281</v>
      </c>
      <c r="M115" s="4"/>
    </row>
    <row r="116" spans="1:13" x14ac:dyDescent="0.25">
      <c r="A116" s="6" t="s">
        <v>142</v>
      </c>
      <c r="B116" s="6" t="s">
        <v>143</v>
      </c>
      <c r="C116" s="5">
        <f t="shared" si="26"/>
        <v>62.968185521934942</v>
      </c>
      <c r="D116" s="5">
        <f t="shared" si="26"/>
        <v>67.280931606003307</v>
      </c>
      <c r="E116" s="5">
        <f t="shared" si="26"/>
        <v>62.00934437625417</v>
      </c>
      <c r="F116" s="5">
        <f t="shared" si="26"/>
        <v>61.985884006594638</v>
      </c>
      <c r="G116" s="5">
        <f t="shared" ref="G116:L116" si="32">F116+0.502352666</f>
        <v>62.488236672594638</v>
      </c>
      <c r="H116" s="5">
        <f>G116+0.502352666</f>
        <v>62.990589338594638</v>
      </c>
      <c r="I116" s="5">
        <f t="shared" si="32"/>
        <v>63.492942004594639</v>
      </c>
      <c r="J116" s="5">
        <f t="shared" si="32"/>
        <v>63.995294670594639</v>
      </c>
      <c r="K116" s="5">
        <f t="shared" si="32"/>
        <v>64.497647336594639</v>
      </c>
      <c r="L116" s="5">
        <f t="shared" si="32"/>
        <v>65.000000002594632</v>
      </c>
      <c r="M116" s="4"/>
    </row>
    <row r="117" spans="1:13" x14ac:dyDescent="0.25">
      <c r="A117" s="6" t="s">
        <v>144</v>
      </c>
      <c r="B117" s="6" t="s">
        <v>145</v>
      </c>
      <c r="C117" s="5">
        <f t="shared" si="26"/>
        <v>57.467238953907795</v>
      </c>
      <c r="D117" s="5">
        <f t="shared" si="26"/>
        <v>56.615467797832764</v>
      </c>
      <c r="E117" s="5">
        <f t="shared" si="26"/>
        <v>42.53618500166931</v>
      </c>
      <c r="F117" s="5">
        <f t="shared" si="26"/>
        <v>53.323177352051566</v>
      </c>
      <c r="G117" s="5">
        <f t="shared" ref="G117:L117" si="33">F117+1.946137108</f>
        <v>55.269314460051568</v>
      </c>
      <c r="H117" s="5">
        <f>G117+1.946137108</f>
        <v>57.21545156805157</v>
      </c>
      <c r="I117" s="5">
        <f t="shared" si="33"/>
        <v>59.161588676051572</v>
      </c>
      <c r="J117" s="5">
        <f t="shared" si="33"/>
        <v>61.107725784051574</v>
      </c>
      <c r="K117" s="5">
        <f t="shared" si="33"/>
        <v>63.053862892051576</v>
      </c>
      <c r="L117" s="5">
        <f t="shared" si="33"/>
        <v>65.000000000051571</v>
      </c>
      <c r="M117" s="4"/>
    </row>
    <row r="118" spans="1:13" x14ac:dyDescent="0.25">
      <c r="A118" s="6" t="s">
        <v>146</v>
      </c>
      <c r="B118" s="6" t="s">
        <v>147</v>
      </c>
      <c r="C118" s="5">
        <f t="shared" si="26"/>
        <v>63.773557268367561</v>
      </c>
      <c r="D118" s="5">
        <f t="shared" si="26"/>
        <v>63.417651692496399</v>
      </c>
      <c r="E118" s="5">
        <f t="shared" si="26"/>
        <v>65.069579249247084</v>
      </c>
      <c r="F118" s="5">
        <f t="shared" si="26"/>
        <v>62.752283238943143</v>
      </c>
      <c r="G118" s="5">
        <f t="shared" ref="G118:L118" si="34">F118+0.37461946</f>
        <v>63.126902698943141</v>
      </c>
      <c r="H118" s="5">
        <f>G118+0.37461946</f>
        <v>63.501522158943139</v>
      </c>
      <c r="I118" s="5">
        <f t="shared" si="34"/>
        <v>63.876141618943137</v>
      </c>
      <c r="J118" s="5">
        <f t="shared" si="34"/>
        <v>64.250761078943142</v>
      </c>
      <c r="K118" s="5">
        <f t="shared" si="34"/>
        <v>64.625380538943148</v>
      </c>
      <c r="L118" s="5">
        <f t="shared" si="34"/>
        <v>64.999999998943153</v>
      </c>
      <c r="M118" s="4"/>
    </row>
    <row r="119" spans="1:13" x14ac:dyDescent="0.25">
      <c r="A119" s="6" t="s">
        <v>148</v>
      </c>
      <c r="B119" s="6" t="s">
        <v>149</v>
      </c>
      <c r="C119" s="5">
        <f t="shared" si="26"/>
        <v>80.695278382638776</v>
      </c>
      <c r="D119" s="5">
        <f t="shared" si="26"/>
        <v>82.133842558913656</v>
      </c>
      <c r="E119" s="5">
        <f t="shared" si="26"/>
        <v>74.298660366852019</v>
      </c>
      <c r="F119" s="5">
        <f t="shared" si="26"/>
        <v>62.787079195497078</v>
      </c>
      <c r="G119" s="5">
        <f t="shared" ref="G119:L119" si="35">F119+0.3688201343</f>
        <v>63.15589932979708</v>
      </c>
      <c r="H119" s="5">
        <f>G119+0.3688201343</f>
        <v>63.524719464097082</v>
      </c>
      <c r="I119" s="5">
        <f t="shared" si="35"/>
        <v>63.893539598397084</v>
      </c>
      <c r="J119" s="5">
        <f t="shared" si="35"/>
        <v>64.262359732697078</v>
      </c>
      <c r="K119" s="5">
        <f t="shared" si="35"/>
        <v>64.631179866997073</v>
      </c>
      <c r="L119" s="5">
        <f t="shared" si="35"/>
        <v>65.000000001297067</v>
      </c>
      <c r="M119" s="4"/>
    </row>
    <row r="120" spans="1:13" x14ac:dyDescent="0.25">
      <c r="A120" s="6" t="s">
        <v>150</v>
      </c>
      <c r="B120" s="6" t="s">
        <v>151</v>
      </c>
      <c r="C120" s="5">
        <f t="shared" si="26"/>
        <v>16.851416858556753</v>
      </c>
      <c r="D120" s="5">
        <f t="shared" si="26"/>
        <v>19.763182822643603</v>
      </c>
      <c r="E120" s="5">
        <f t="shared" si="26"/>
        <v>13.658480208337389</v>
      </c>
      <c r="F120" s="5">
        <f t="shared" si="26"/>
        <v>17.076653405248074</v>
      </c>
      <c r="G120" s="5">
        <f t="shared" ref="G120:L120" si="36">F120+7.987224432</f>
        <v>25.063877837248072</v>
      </c>
      <c r="H120" s="5">
        <f>G120+7.987224432</f>
        <v>33.051102269248069</v>
      </c>
      <c r="I120" s="5">
        <f t="shared" si="36"/>
        <v>41.038326701248067</v>
      </c>
      <c r="J120" s="5">
        <f t="shared" si="36"/>
        <v>49.025551133248065</v>
      </c>
      <c r="K120" s="5">
        <f t="shared" si="36"/>
        <v>57.012775565248063</v>
      </c>
      <c r="L120" s="5">
        <f t="shared" si="36"/>
        <v>64.999999997248068</v>
      </c>
      <c r="M120" s="4"/>
    </row>
    <row r="121" spans="1:13" x14ac:dyDescent="0.25">
      <c r="A121" s="6" t="s">
        <v>152</v>
      </c>
      <c r="B121" s="6" t="s">
        <v>153</v>
      </c>
      <c r="C121" s="5">
        <f t="shared" si="26"/>
        <v>11.780000733043909</v>
      </c>
      <c r="D121" s="5">
        <f t="shared" si="26"/>
        <v>92.228852316992104</v>
      </c>
      <c r="E121" s="5">
        <f t="shared" si="26"/>
        <v>65.64113947554128</v>
      </c>
      <c r="F121" s="5">
        <f t="shared" si="26"/>
        <v>59.803274666216844</v>
      </c>
      <c r="G121" s="5">
        <f t="shared" ref="G121:L121" si="37">F121+0.866120889</f>
        <v>60.669395555216845</v>
      </c>
      <c r="H121" s="5">
        <f>G121+0.866120889</f>
        <v>61.535516444216846</v>
      </c>
      <c r="I121" s="5">
        <f t="shared" si="37"/>
        <v>62.401637333216847</v>
      </c>
      <c r="J121" s="5">
        <f t="shared" si="37"/>
        <v>63.267758222216848</v>
      </c>
      <c r="K121" s="5">
        <f t="shared" si="37"/>
        <v>64.133879111216842</v>
      </c>
      <c r="L121" s="5">
        <f t="shared" si="37"/>
        <v>65.000000000216843</v>
      </c>
      <c r="M121" s="4"/>
    </row>
    <row r="122" spans="1:13" x14ac:dyDescent="0.25">
      <c r="A122" s="6" t="s">
        <v>154</v>
      </c>
      <c r="B122" s="6" t="s">
        <v>155</v>
      </c>
      <c r="C122" s="5">
        <f t="shared" si="26"/>
        <v>75.828708210911472</v>
      </c>
      <c r="D122" s="5">
        <f t="shared" si="26"/>
        <v>79.086423092860429</v>
      </c>
      <c r="E122" s="5">
        <f t="shared" si="26"/>
        <v>79.992892778976298</v>
      </c>
      <c r="F122" s="5">
        <f t="shared" si="26"/>
        <v>79.323402846043905</v>
      </c>
      <c r="G122" s="5">
        <f t="shared" ref="G122:L122" si="38">F122-2.387233808</f>
        <v>76.9361690380439</v>
      </c>
      <c r="H122" s="5">
        <f>G122-2.387233808</f>
        <v>74.548935230043895</v>
      </c>
      <c r="I122" s="5">
        <f t="shared" si="38"/>
        <v>72.16170142204389</v>
      </c>
      <c r="J122" s="5">
        <f t="shared" si="38"/>
        <v>69.774467614043886</v>
      </c>
      <c r="K122" s="5">
        <f t="shared" si="38"/>
        <v>67.387233806043881</v>
      </c>
      <c r="L122" s="5">
        <f t="shared" si="38"/>
        <v>64.999999998043876</v>
      </c>
      <c r="M122" s="4"/>
    </row>
    <row r="123" spans="1:13" s="2" customFormat="1" ht="16.5" x14ac:dyDescent="0.3">
      <c r="A123" s="227" t="s">
        <v>156</v>
      </c>
      <c r="B123" s="228"/>
      <c r="C123" s="109">
        <f t="shared" si="26"/>
        <v>44.119141428704289</v>
      </c>
      <c r="D123" s="109">
        <f t="shared" si="26"/>
        <v>49.903469165419708</v>
      </c>
      <c r="E123" s="109">
        <f t="shared" si="26"/>
        <v>50.47840661217262</v>
      </c>
      <c r="F123" s="109">
        <f t="shared" si="26"/>
        <v>55.326795688121997</v>
      </c>
      <c r="G123" s="96">
        <v>66.985123517424512</v>
      </c>
      <c r="H123" s="96">
        <v>65.325471700125377</v>
      </c>
      <c r="I123" s="96">
        <v>65.287609177888044</v>
      </c>
      <c r="J123" s="96">
        <v>65.293915940753038</v>
      </c>
      <c r="K123" s="96">
        <v>65.30022331284934</v>
      </c>
      <c r="L123" s="97">
        <v>65</v>
      </c>
      <c r="M123" s="3"/>
    </row>
    <row r="124" spans="1:13" s="105" customFormat="1" ht="33" customHeight="1" thickBot="1" x14ac:dyDescent="0.35">
      <c r="A124" s="100"/>
      <c r="B124" s="100"/>
      <c r="C124" s="101"/>
      <c r="D124" s="101"/>
      <c r="E124" s="101"/>
      <c r="F124" s="101"/>
      <c r="G124" s="102"/>
      <c r="H124" s="102"/>
      <c r="I124" s="102"/>
      <c r="J124" s="102"/>
      <c r="K124" s="102"/>
      <c r="L124" s="103"/>
      <c r="M124" s="104"/>
    </row>
    <row r="125" spans="1:13" ht="82.5" customHeight="1" thickTop="1" thickBot="1" x14ac:dyDescent="0.3">
      <c r="A125" s="219" t="s">
        <v>229</v>
      </c>
      <c r="B125" s="220"/>
      <c r="C125" s="220"/>
      <c r="D125" s="220"/>
      <c r="E125" s="220"/>
      <c r="F125" s="221"/>
    </row>
    <row r="126" spans="1:13" ht="16.5" thickTop="1" x14ac:dyDescent="0.25">
      <c r="B126" s="222" t="s">
        <v>206</v>
      </c>
      <c r="C126" s="223"/>
      <c r="D126" s="223"/>
      <c r="E126" s="224"/>
    </row>
    <row r="127" spans="1:13" x14ac:dyDescent="0.25">
      <c r="B127" s="44" t="s">
        <v>211</v>
      </c>
      <c r="C127" s="75" t="s">
        <v>212</v>
      </c>
      <c r="D127" s="44" t="s">
        <v>213</v>
      </c>
      <c r="E127" s="44" t="s">
        <v>214</v>
      </c>
    </row>
    <row r="128" spans="1:13" x14ac:dyDescent="0.25">
      <c r="B128" s="6" t="s">
        <v>207</v>
      </c>
      <c r="C128" s="76" t="s">
        <v>208</v>
      </c>
      <c r="D128" s="6" t="s">
        <v>209</v>
      </c>
      <c r="E128" s="6" t="s">
        <v>210</v>
      </c>
    </row>
    <row r="129" spans="2:5" x14ac:dyDescent="0.25">
      <c r="B129" s="44">
        <v>28</v>
      </c>
      <c r="C129" s="75">
        <v>63</v>
      </c>
      <c r="D129" s="44">
        <v>4</v>
      </c>
      <c r="E129" s="44">
        <v>5</v>
      </c>
    </row>
  </sheetData>
  <mergeCells count="14">
    <mergeCell ref="A125:F125"/>
    <mergeCell ref="B126:E126"/>
    <mergeCell ref="A1:L1"/>
    <mergeCell ref="A2:L2"/>
    <mergeCell ref="A4:L4"/>
    <mergeCell ref="A123:B123"/>
    <mergeCell ref="A41:B41"/>
    <mergeCell ref="A49:B49"/>
    <mergeCell ref="A8:B8"/>
    <mergeCell ref="G89:L89"/>
    <mergeCell ref="C89:F89"/>
    <mergeCell ref="A89:B90"/>
    <mergeCell ref="C83:F83"/>
    <mergeCell ref="J83:L83"/>
  </mergeCells>
  <pageMargins left="0.26190476190476192" right="0.45833333333333331" top="0.75" bottom="0.75" header="0.3" footer="0.3"/>
  <pageSetup scale="55" orientation="landscape" r:id="rId1"/>
  <headerFooter differentOddEven="1">
    <oddHeader>&amp;CRamo 33 Fondo de Aportaciones para los Servicios de Salud para el Ejercicio Fiscal 2014
Componente</oddHeader>
    <oddFooter>&amp;L&amp;F&amp;C&amp;P&amp;R&amp;D</oddFooter>
  </headerFooter>
  <rowBreaks count="2" manualBreakCount="2">
    <brk id="41" max="13" man="1"/>
    <brk id="84" max="13" man="1"/>
  </rowBreaks>
  <ignoredErrors>
    <ignoredError sqref="I8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view="pageBreakPreview" topLeftCell="A49" zoomScale="110" zoomScaleNormal="100" zoomScaleSheetLayoutView="110" zoomScalePageLayoutView="90" workbookViewId="0">
      <selection activeCell="K46" sqref="K46"/>
    </sheetView>
  </sheetViews>
  <sheetFormatPr baseColWidth="10" defaultRowHeight="15.75" x14ac:dyDescent="0.25"/>
  <cols>
    <col min="1" max="1" width="11.42578125" style="1"/>
    <col min="2" max="2" width="12.85546875" style="1" customWidth="1"/>
    <col min="3" max="3" width="14.28515625" style="1" customWidth="1"/>
    <col min="4" max="4" width="11.42578125" style="1"/>
    <col min="5" max="5" width="11.28515625" style="1" customWidth="1"/>
    <col min="6" max="6" width="12.5703125" style="1" customWidth="1"/>
    <col min="7" max="7" width="13.7109375" style="1" customWidth="1"/>
    <col min="8" max="10" width="11.42578125" style="1"/>
    <col min="11" max="11" width="13.42578125" style="1" customWidth="1"/>
    <col min="12" max="16384" width="11.42578125" style="1"/>
  </cols>
  <sheetData>
    <row r="1" spans="1:12" ht="16.5" x14ac:dyDescent="0.3">
      <c r="A1" s="238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0"/>
    </row>
    <row r="2" spans="1:12" ht="16.5" x14ac:dyDescent="0.3">
      <c r="A2" s="150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6.5" x14ac:dyDescent="0.3">
      <c r="A3" s="145" t="s">
        <v>2</v>
      </c>
      <c r="B3" s="146"/>
      <c r="C3" s="241" t="s">
        <v>3</v>
      </c>
      <c r="D3" s="242"/>
      <c r="E3" s="242"/>
      <c r="F3" s="242"/>
      <c r="G3" s="242"/>
      <c r="H3" s="242"/>
      <c r="I3" s="242"/>
      <c r="J3" s="242"/>
      <c r="K3" s="242"/>
      <c r="L3" s="243"/>
    </row>
    <row r="4" spans="1:12" ht="16.5" x14ac:dyDescent="0.3">
      <c r="A4" s="145" t="s">
        <v>4</v>
      </c>
      <c r="B4" s="146"/>
      <c r="C4" s="241" t="s">
        <v>5</v>
      </c>
      <c r="D4" s="242"/>
      <c r="E4" s="242"/>
      <c r="F4" s="242"/>
      <c r="G4" s="242"/>
      <c r="H4" s="242"/>
      <c r="I4" s="242"/>
      <c r="J4" s="242"/>
      <c r="K4" s="242"/>
      <c r="L4" s="243"/>
    </row>
    <row r="5" spans="1:12" ht="16.5" x14ac:dyDescent="0.3">
      <c r="A5" s="150" t="s">
        <v>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2"/>
    </row>
    <row r="6" spans="1:12" ht="16.5" x14ac:dyDescent="0.3">
      <c r="A6" s="145" t="s">
        <v>7</v>
      </c>
      <c r="B6" s="146"/>
      <c r="C6" s="235">
        <v>4</v>
      </c>
      <c r="D6" s="235"/>
      <c r="E6" s="235"/>
      <c r="F6" s="146" t="s">
        <v>8</v>
      </c>
      <c r="G6" s="146"/>
      <c r="H6" s="236" t="s">
        <v>170</v>
      </c>
      <c r="I6" s="236"/>
      <c r="J6" s="236"/>
      <c r="K6" s="236"/>
      <c r="L6" s="237"/>
    </row>
    <row r="7" spans="1:12" ht="16.5" x14ac:dyDescent="0.3">
      <c r="A7" s="145" t="s">
        <v>9</v>
      </c>
      <c r="B7" s="146"/>
      <c r="C7" s="236" t="s">
        <v>172</v>
      </c>
      <c r="D7" s="236"/>
      <c r="E7" s="236"/>
      <c r="F7" s="236"/>
      <c r="G7" s="236"/>
      <c r="H7" s="236"/>
      <c r="I7" s="236"/>
      <c r="J7" s="236"/>
      <c r="K7" s="236"/>
      <c r="L7" s="237"/>
    </row>
    <row r="8" spans="1:12" ht="16.5" x14ac:dyDescent="0.3">
      <c r="A8" s="145" t="s">
        <v>10</v>
      </c>
      <c r="B8" s="146"/>
      <c r="C8" s="236" t="s">
        <v>11</v>
      </c>
      <c r="D8" s="236"/>
      <c r="E8" s="236"/>
      <c r="F8" s="146" t="s">
        <v>12</v>
      </c>
      <c r="G8" s="146"/>
      <c r="H8" s="236" t="s">
        <v>13</v>
      </c>
      <c r="I8" s="236"/>
      <c r="J8" s="236"/>
      <c r="K8" s="236"/>
      <c r="L8" s="237"/>
    </row>
    <row r="9" spans="1:12" ht="63.75" customHeight="1" x14ac:dyDescent="0.25">
      <c r="A9" s="246" t="s">
        <v>14</v>
      </c>
      <c r="B9" s="247"/>
      <c r="C9" s="248" t="s">
        <v>173</v>
      </c>
      <c r="D9" s="249"/>
      <c r="E9" s="249"/>
      <c r="F9" s="249"/>
      <c r="G9" s="249"/>
      <c r="H9" s="249"/>
      <c r="I9" s="249"/>
      <c r="J9" s="249"/>
      <c r="K9" s="249"/>
      <c r="L9" s="250"/>
    </row>
    <row r="10" spans="1:12" ht="37.5" customHeight="1" x14ac:dyDescent="0.25">
      <c r="A10" s="244" t="s">
        <v>15</v>
      </c>
      <c r="B10" s="245"/>
      <c r="C10" s="210" t="s">
        <v>174</v>
      </c>
      <c r="D10" s="211"/>
      <c r="E10" s="211"/>
      <c r="F10" s="211"/>
      <c r="G10" s="211"/>
      <c r="H10" s="211"/>
      <c r="I10" s="211"/>
      <c r="J10" s="211"/>
      <c r="K10" s="211"/>
      <c r="L10" s="212"/>
    </row>
    <row r="11" spans="1:12" ht="20.25" customHeight="1" x14ac:dyDescent="0.3">
      <c r="A11" s="145" t="s">
        <v>16</v>
      </c>
      <c r="B11" s="146"/>
      <c r="C11" s="213" t="s">
        <v>190</v>
      </c>
      <c r="D11" s="236"/>
      <c r="E11" s="236"/>
      <c r="F11" s="236"/>
      <c r="G11" s="236"/>
      <c r="H11" s="236"/>
      <c r="I11" s="236"/>
      <c r="J11" s="236"/>
      <c r="K11" s="236"/>
      <c r="L11" s="237"/>
    </row>
    <row r="12" spans="1:12" ht="16.5" x14ac:dyDescent="0.3">
      <c r="A12" s="145" t="s">
        <v>17</v>
      </c>
      <c r="B12" s="146"/>
      <c r="C12" s="236" t="s">
        <v>18</v>
      </c>
      <c r="D12" s="236"/>
      <c r="E12" s="236"/>
      <c r="F12" s="236"/>
      <c r="G12" s="236"/>
      <c r="H12" s="236"/>
      <c r="I12" s="236"/>
      <c r="J12" s="236"/>
      <c r="K12" s="236"/>
      <c r="L12" s="237"/>
    </row>
    <row r="13" spans="1:12" ht="16.5" x14ac:dyDescent="0.3">
      <c r="A13" s="145" t="s">
        <v>19</v>
      </c>
      <c r="B13" s="146"/>
      <c r="C13" s="241" t="s">
        <v>20</v>
      </c>
      <c r="D13" s="242"/>
      <c r="E13" s="252"/>
      <c r="F13" s="146" t="s">
        <v>21</v>
      </c>
      <c r="G13" s="146"/>
      <c r="H13" s="137"/>
      <c r="I13" s="137"/>
      <c r="J13" s="137"/>
      <c r="K13" s="137"/>
      <c r="L13" s="138"/>
    </row>
    <row r="14" spans="1:12" ht="16.5" x14ac:dyDescent="0.3">
      <c r="A14" s="60" t="s">
        <v>22</v>
      </c>
      <c r="B14" s="61"/>
      <c r="C14" s="137" t="s">
        <v>23</v>
      </c>
      <c r="D14" s="137"/>
      <c r="E14" s="137"/>
      <c r="F14" s="137"/>
      <c r="G14" s="137"/>
      <c r="H14" s="137"/>
      <c r="I14" s="137"/>
      <c r="J14" s="137"/>
      <c r="K14" s="137"/>
      <c r="L14" s="138"/>
    </row>
    <row r="15" spans="1:12" ht="16.5" x14ac:dyDescent="0.3">
      <c r="A15" s="150" t="s">
        <v>24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2"/>
    </row>
    <row r="16" spans="1:12" ht="33" x14ac:dyDescent="0.3">
      <c r="A16" s="45" t="s">
        <v>25</v>
      </c>
      <c r="B16" s="46" t="s">
        <v>26</v>
      </c>
      <c r="C16" s="46" t="s">
        <v>27</v>
      </c>
      <c r="D16" s="164" t="s">
        <v>28</v>
      </c>
      <c r="E16" s="164"/>
      <c r="F16" s="164" t="s">
        <v>29</v>
      </c>
      <c r="G16" s="164"/>
      <c r="H16" s="164" t="s">
        <v>30</v>
      </c>
      <c r="I16" s="164"/>
      <c r="J16" s="46" t="s">
        <v>31</v>
      </c>
      <c r="K16" s="46" t="s">
        <v>32</v>
      </c>
      <c r="L16" s="47" t="s">
        <v>33</v>
      </c>
    </row>
    <row r="17" spans="1:12" x14ac:dyDescent="0.25">
      <c r="A17" s="54" t="s">
        <v>175</v>
      </c>
      <c r="B17" s="6" t="s">
        <v>83</v>
      </c>
      <c r="C17" s="6" t="s">
        <v>84</v>
      </c>
      <c r="D17" s="137" t="s">
        <v>176</v>
      </c>
      <c r="E17" s="137"/>
      <c r="F17" s="137" t="s">
        <v>81</v>
      </c>
      <c r="G17" s="137"/>
      <c r="H17" s="251" t="s">
        <v>87</v>
      </c>
      <c r="I17" s="137"/>
      <c r="J17" s="6">
        <v>55</v>
      </c>
      <c r="K17" s="6" t="s">
        <v>228</v>
      </c>
      <c r="L17" s="59">
        <v>52593</v>
      </c>
    </row>
    <row r="18" spans="1:12" x14ac:dyDescent="0.25">
      <c r="A18" s="54" t="s">
        <v>161</v>
      </c>
      <c r="B18" s="6" t="s">
        <v>162</v>
      </c>
      <c r="C18" s="6" t="s">
        <v>163</v>
      </c>
      <c r="D18" s="153" t="s">
        <v>176</v>
      </c>
      <c r="E18" s="160"/>
      <c r="F18" s="153" t="s">
        <v>34</v>
      </c>
      <c r="G18" s="160"/>
      <c r="H18" s="255" t="s">
        <v>177</v>
      </c>
      <c r="I18" s="160"/>
      <c r="J18" s="6">
        <v>55</v>
      </c>
      <c r="K18" s="6" t="s">
        <v>228</v>
      </c>
      <c r="L18" s="59">
        <v>52564</v>
      </c>
    </row>
    <row r="19" spans="1:12" x14ac:dyDescent="0.25">
      <c r="A19" s="50" t="s">
        <v>215</v>
      </c>
      <c r="B19" s="51" t="s">
        <v>216</v>
      </c>
      <c r="C19" s="51" t="s">
        <v>217</v>
      </c>
      <c r="D19" s="197" t="s">
        <v>218</v>
      </c>
      <c r="E19" s="197"/>
      <c r="F19" s="197" t="s">
        <v>219</v>
      </c>
      <c r="G19" s="197"/>
      <c r="H19" s="198" t="s">
        <v>220</v>
      </c>
      <c r="I19" s="197"/>
      <c r="J19" s="51">
        <v>55</v>
      </c>
      <c r="K19" s="51" t="s">
        <v>221</v>
      </c>
      <c r="L19" s="52">
        <v>58501</v>
      </c>
    </row>
    <row r="20" spans="1:12" x14ac:dyDescent="0.25">
      <c r="A20" s="50" t="s">
        <v>222</v>
      </c>
      <c r="B20" s="51" t="s">
        <v>223</v>
      </c>
      <c r="C20" s="51" t="s">
        <v>224</v>
      </c>
      <c r="D20" s="197" t="s">
        <v>218</v>
      </c>
      <c r="E20" s="197"/>
      <c r="F20" s="199" t="s">
        <v>225</v>
      </c>
      <c r="G20" s="200"/>
      <c r="H20" s="201" t="s">
        <v>226</v>
      </c>
      <c r="I20" s="200"/>
      <c r="J20" s="51">
        <v>55</v>
      </c>
      <c r="K20" s="51" t="s">
        <v>221</v>
      </c>
      <c r="L20" s="52">
        <v>58522</v>
      </c>
    </row>
    <row r="21" spans="1:12" ht="16.5" x14ac:dyDescent="0.3">
      <c r="A21" s="150" t="s">
        <v>35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2"/>
    </row>
    <row r="22" spans="1:12" s="63" customFormat="1" ht="45" customHeight="1" x14ac:dyDescent="0.25">
      <c r="A22" s="256" t="s">
        <v>171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8"/>
    </row>
    <row r="23" spans="1:12" x14ac:dyDescent="0.25">
      <c r="A23" s="161" t="s">
        <v>36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3"/>
    </row>
    <row r="24" spans="1:12" ht="16.5" x14ac:dyDescent="0.3">
      <c r="A24" s="253" t="s">
        <v>37</v>
      </c>
      <c r="B24" s="254"/>
      <c r="C24" s="241" t="s">
        <v>88</v>
      </c>
      <c r="D24" s="242"/>
      <c r="E24" s="242"/>
      <c r="F24" s="242"/>
      <c r="G24" s="242"/>
      <c r="H24" s="242"/>
      <c r="I24" s="242"/>
      <c r="J24" s="242"/>
      <c r="K24" s="242"/>
      <c r="L24" s="243"/>
    </row>
    <row r="25" spans="1:12" ht="16.5" x14ac:dyDescent="0.3">
      <c r="A25" s="150" t="s">
        <v>38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2"/>
    </row>
    <row r="26" spans="1:12" ht="16.5" x14ac:dyDescent="0.3">
      <c r="A26" s="142" t="s">
        <v>39</v>
      </c>
      <c r="B26" s="143"/>
      <c r="C26" s="143"/>
      <c r="D26" s="143"/>
      <c r="E26" s="143" t="s">
        <v>40</v>
      </c>
      <c r="F26" s="143"/>
      <c r="G26" s="143"/>
      <c r="H26" s="143"/>
      <c r="I26" s="143" t="s">
        <v>41</v>
      </c>
      <c r="J26" s="143"/>
      <c r="K26" s="143"/>
      <c r="L26" s="144"/>
    </row>
    <row r="27" spans="1:12" x14ac:dyDescent="0.25">
      <c r="A27" s="136">
        <v>2012</v>
      </c>
      <c r="B27" s="137"/>
      <c r="C27" s="137"/>
      <c r="D27" s="137"/>
      <c r="E27" s="137">
        <v>2012</v>
      </c>
      <c r="F27" s="137"/>
      <c r="G27" s="137"/>
      <c r="H27" s="137"/>
      <c r="I27" s="137"/>
      <c r="J27" s="137"/>
      <c r="K27" s="137"/>
      <c r="L27" s="138"/>
    </row>
    <row r="28" spans="1:12" ht="16.5" x14ac:dyDescent="0.3">
      <c r="A28" s="142" t="s">
        <v>42</v>
      </c>
      <c r="B28" s="143"/>
      <c r="C28" s="143"/>
      <c r="D28" s="143"/>
      <c r="E28" s="143" t="s">
        <v>43</v>
      </c>
      <c r="F28" s="143"/>
      <c r="G28" s="143"/>
      <c r="H28" s="143"/>
      <c r="I28" s="143" t="s">
        <v>44</v>
      </c>
      <c r="J28" s="143"/>
      <c r="K28" s="143"/>
      <c r="L28" s="144"/>
    </row>
    <row r="29" spans="1:12" ht="16.5" customHeight="1" x14ac:dyDescent="0.3">
      <c r="A29" s="184" t="s">
        <v>227</v>
      </c>
      <c r="B29" s="259"/>
      <c r="C29" s="259"/>
      <c r="D29" s="260"/>
      <c r="E29" s="261">
        <v>12695763.609999999</v>
      </c>
      <c r="F29" s="157"/>
      <c r="G29" s="157"/>
      <c r="H29" s="158"/>
      <c r="I29" s="147" t="s">
        <v>252</v>
      </c>
      <c r="J29" s="148"/>
      <c r="K29" s="148"/>
      <c r="L29" s="149"/>
    </row>
    <row r="30" spans="1:12" ht="16.5" x14ac:dyDescent="0.3">
      <c r="A30" s="150" t="s">
        <v>45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2"/>
    </row>
    <row r="31" spans="1:12" ht="16.5" x14ac:dyDescent="0.3">
      <c r="A31" s="142" t="s">
        <v>46</v>
      </c>
      <c r="B31" s="143"/>
      <c r="C31" s="143"/>
      <c r="D31" s="143"/>
      <c r="E31" s="143" t="s">
        <v>47</v>
      </c>
      <c r="F31" s="143"/>
      <c r="G31" s="143"/>
      <c r="H31" s="143"/>
      <c r="I31" s="143" t="s">
        <v>204</v>
      </c>
      <c r="J31" s="143"/>
      <c r="K31" s="143"/>
      <c r="L31" s="144"/>
    </row>
    <row r="32" spans="1:12" x14ac:dyDescent="0.25">
      <c r="A32" s="136" t="s">
        <v>182</v>
      </c>
      <c r="B32" s="137"/>
      <c r="C32" s="137"/>
      <c r="D32" s="137"/>
      <c r="E32" s="137">
        <v>25</v>
      </c>
      <c r="F32" s="137"/>
      <c r="G32" s="137"/>
      <c r="H32" s="137"/>
      <c r="I32" s="137">
        <v>20</v>
      </c>
      <c r="J32" s="137"/>
      <c r="K32" s="137"/>
      <c r="L32" s="138"/>
    </row>
    <row r="33" spans="1:13" ht="17.25" x14ac:dyDescent="0.3">
      <c r="A33" s="263" t="s">
        <v>49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5"/>
    </row>
    <row r="34" spans="1:13" ht="16.5" x14ac:dyDescent="0.3">
      <c r="A34" s="142" t="s">
        <v>39</v>
      </c>
      <c r="B34" s="143"/>
      <c r="C34" s="143" t="s">
        <v>50</v>
      </c>
      <c r="D34" s="143"/>
      <c r="E34" s="143" t="s">
        <v>43</v>
      </c>
      <c r="F34" s="143"/>
      <c r="G34" s="143"/>
      <c r="H34" s="143" t="s">
        <v>44</v>
      </c>
      <c r="I34" s="143"/>
      <c r="J34" s="143"/>
      <c r="K34" s="143" t="s">
        <v>51</v>
      </c>
      <c r="L34" s="144"/>
    </row>
    <row r="35" spans="1:13" x14ac:dyDescent="0.25">
      <c r="A35" s="262">
        <v>2015</v>
      </c>
      <c r="B35" s="168"/>
      <c r="C35" s="168"/>
      <c r="D35" s="168"/>
      <c r="E35" s="168"/>
      <c r="F35" s="168"/>
      <c r="G35" s="168"/>
      <c r="H35" s="168">
        <v>77845081.243000001</v>
      </c>
      <c r="I35" s="168"/>
      <c r="J35" s="168"/>
      <c r="K35" s="168" t="s">
        <v>202</v>
      </c>
      <c r="L35" s="169"/>
      <c r="M35" s="130" t="s">
        <v>274</v>
      </c>
    </row>
    <row r="36" spans="1:13" x14ac:dyDescent="0.25">
      <c r="A36" s="136">
        <v>2018</v>
      </c>
      <c r="B36" s="137"/>
      <c r="C36" s="137">
        <v>25</v>
      </c>
      <c r="D36" s="137"/>
      <c r="E36" s="266">
        <v>206843357.81</v>
      </c>
      <c r="F36" s="266"/>
      <c r="G36" s="266"/>
      <c r="H36" s="137">
        <v>86358276.482215866</v>
      </c>
      <c r="I36" s="137"/>
      <c r="J36" s="137"/>
      <c r="K36" s="137" t="s">
        <v>202</v>
      </c>
      <c r="L36" s="138"/>
    </row>
    <row r="37" spans="1:13" ht="16.5" x14ac:dyDescent="0.3">
      <c r="A37" s="150" t="s">
        <v>52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2"/>
    </row>
    <row r="38" spans="1:13" ht="16.5" x14ac:dyDescent="0.3">
      <c r="A38" s="62" t="s">
        <v>40</v>
      </c>
      <c r="B38" s="143" t="s">
        <v>50</v>
      </c>
      <c r="C38" s="143"/>
      <c r="D38" s="143" t="s">
        <v>43</v>
      </c>
      <c r="E38" s="143"/>
      <c r="F38" s="143" t="s">
        <v>44</v>
      </c>
      <c r="G38" s="143"/>
      <c r="H38" s="143" t="s">
        <v>53</v>
      </c>
      <c r="I38" s="143"/>
      <c r="J38" s="143" t="s">
        <v>54</v>
      </c>
      <c r="K38" s="143"/>
      <c r="L38" s="144"/>
    </row>
    <row r="39" spans="1:13" x14ac:dyDescent="0.25">
      <c r="A39" s="128" t="s">
        <v>23</v>
      </c>
      <c r="B39" s="168"/>
      <c r="C39" s="168"/>
      <c r="D39" s="168"/>
      <c r="E39" s="168"/>
      <c r="F39" s="168">
        <v>77845081.243000001</v>
      </c>
      <c r="G39" s="168"/>
      <c r="H39" s="168" t="s">
        <v>205</v>
      </c>
      <c r="I39" s="168"/>
      <c r="J39" s="167">
        <v>42613</v>
      </c>
      <c r="K39" s="168"/>
      <c r="L39" s="169"/>
      <c r="M39" s="130" t="s">
        <v>274</v>
      </c>
    </row>
    <row r="40" spans="1:13" ht="16.5" x14ac:dyDescent="0.3">
      <c r="A40" s="150" t="s">
        <v>55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2"/>
    </row>
    <row r="41" spans="1:13" ht="16.5" x14ac:dyDescent="0.3">
      <c r="A41" s="142" t="s">
        <v>40</v>
      </c>
      <c r="B41" s="143"/>
      <c r="C41" s="143"/>
      <c r="D41" s="143" t="s">
        <v>50</v>
      </c>
      <c r="E41" s="143"/>
      <c r="F41" s="143"/>
      <c r="G41" s="143" t="s">
        <v>43</v>
      </c>
      <c r="H41" s="143"/>
      <c r="I41" s="143"/>
      <c r="J41" s="143" t="s">
        <v>44</v>
      </c>
      <c r="K41" s="143"/>
      <c r="L41" s="144"/>
    </row>
    <row r="42" spans="1:13" x14ac:dyDescent="0.25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8"/>
    </row>
    <row r="43" spans="1:13" x14ac:dyDescent="0.25">
      <c r="A43" s="136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8"/>
    </row>
    <row r="44" spans="1:13" x14ac:dyDescent="0.25">
      <c r="A44" s="161" t="s">
        <v>56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3"/>
    </row>
    <row r="45" spans="1:13" ht="46.5" customHeight="1" x14ac:dyDescent="0.3">
      <c r="A45" s="45" t="s">
        <v>57</v>
      </c>
      <c r="B45" s="46" t="s">
        <v>58</v>
      </c>
      <c r="C45" s="164" t="s">
        <v>59</v>
      </c>
      <c r="D45" s="164"/>
      <c r="E45" s="164"/>
      <c r="F45" s="46" t="s">
        <v>60</v>
      </c>
      <c r="G45" s="46" t="s">
        <v>61</v>
      </c>
      <c r="H45" s="46" t="s">
        <v>62</v>
      </c>
      <c r="I45" s="164" t="s">
        <v>63</v>
      </c>
      <c r="J45" s="164"/>
      <c r="K45" s="46" t="s">
        <v>64</v>
      </c>
      <c r="L45" s="47" t="s">
        <v>65</v>
      </c>
    </row>
    <row r="46" spans="1:13" s="58" customFormat="1" ht="204.75" x14ac:dyDescent="0.25">
      <c r="A46" s="55" t="s">
        <v>178</v>
      </c>
      <c r="B46" s="56" t="s">
        <v>191</v>
      </c>
      <c r="C46" s="156" t="s">
        <v>185</v>
      </c>
      <c r="D46" s="157"/>
      <c r="E46" s="158"/>
      <c r="F46" s="56" t="s">
        <v>167</v>
      </c>
      <c r="G46" s="56" t="s">
        <v>90</v>
      </c>
      <c r="H46" s="56" t="s">
        <v>23</v>
      </c>
      <c r="I46" s="159" t="s">
        <v>183</v>
      </c>
      <c r="J46" s="159"/>
      <c r="K46" s="129">
        <v>42590</v>
      </c>
      <c r="L46" s="57" t="s">
        <v>184</v>
      </c>
    </row>
    <row r="47" spans="1:13" s="58" customFormat="1" ht="84.95" customHeight="1" x14ac:dyDescent="0.25">
      <c r="A47" s="55" t="s">
        <v>168</v>
      </c>
      <c r="B47" s="56" t="s">
        <v>169</v>
      </c>
      <c r="C47" s="159" t="s">
        <v>185</v>
      </c>
      <c r="D47" s="159"/>
      <c r="E47" s="159"/>
      <c r="F47" s="56" t="s">
        <v>167</v>
      </c>
      <c r="G47" s="56" t="s">
        <v>179</v>
      </c>
      <c r="H47" s="56" t="s">
        <v>23</v>
      </c>
      <c r="I47" s="159" t="s">
        <v>183</v>
      </c>
      <c r="J47" s="159"/>
      <c r="K47" s="129">
        <v>42224</v>
      </c>
      <c r="L47" s="57" t="s">
        <v>184</v>
      </c>
    </row>
    <row r="48" spans="1:13" ht="16.5" x14ac:dyDescent="0.3">
      <c r="A48" s="139" t="s">
        <v>66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1"/>
    </row>
    <row r="49" spans="1:12" ht="16.5" x14ac:dyDescent="0.3">
      <c r="A49" s="150" t="s">
        <v>67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2"/>
    </row>
    <row r="50" spans="1:12" ht="16.5" x14ac:dyDescent="0.3">
      <c r="A50" s="145" t="s">
        <v>68</v>
      </c>
      <c r="B50" s="146"/>
      <c r="C50" s="146"/>
      <c r="D50" s="153" t="s">
        <v>256</v>
      </c>
      <c r="E50" s="154"/>
      <c r="F50" s="154"/>
      <c r="G50" s="154"/>
      <c r="H50" s="154"/>
      <c r="I50" s="154"/>
      <c r="J50" s="154"/>
      <c r="K50" s="154"/>
      <c r="L50" s="155"/>
    </row>
    <row r="51" spans="1:12" ht="16.5" x14ac:dyDescent="0.3">
      <c r="A51" s="150" t="s">
        <v>69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2"/>
    </row>
    <row r="52" spans="1:12" ht="16.5" x14ac:dyDescent="0.3">
      <c r="A52" s="145" t="s">
        <v>70</v>
      </c>
      <c r="B52" s="146"/>
      <c r="C52" s="146"/>
      <c r="D52" s="137"/>
      <c r="E52" s="137"/>
      <c r="F52" s="137"/>
      <c r="G52" s="137"/>
      <c r="H52" s="137"/>
      <c r="I52" s="137"/>
      <c r="J52" s="137"/>
      <c r="K52" s="137"/>
      <c r="L52" s="138"/>
    </row>
    <row r="53" spans="1:12" ht="32.25" customHeight="1" x14ac:dyDescent="0.3">
      <c r="A53" s="145" t="s">
        <v>71</v>
      </c>
      <c r="B53" s="146"/>
      <c r="C53" s="146"/>
      <c r="D53" s="147" t="s">
        <v>180</v>
      </c>
      <c r="E53" s="148"/>
      <c r="F53" s="148"/>
      <c r="G53" s="148"/>
      <c r="H53" s="148"/>
      <c r="I53" s="148"/>
      <c r="J53" s="148"/>
      <c r="K53" s="148"/>
      <c r="L53" s="149"/>
    </row>
    <row r="54" spans="1:12" ht="16.5" x14ac:dyDescent="0.3">
      <c r="A54" s="150" t="s">
        <v>72</v>
      </c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2"/>
    </row>
    <row r="55" spans="1:12" ht="16.5" x14ac:dyDescent="0.3">
      <c r="A55" s="142" t="s">
        <v>73</v>
      </c>
      <c r="B55" s="143"/>
      <c r="C55" s="143"/>
      <c r="D55" s="143"/>
      <c r="E55" s="143" t="s">
        <v>74</v>
      </c>
      <c r="F55" s="143"/>
      <c r="G55" s="143"/>
      <c r="H55" s="143"/>
      <c r="I55" s="143" t="s">
        <v>75</v>
      </c>
      <c r="J55" s="143"/>
      <c r="K55" s="143"/>
      <c r="L55" s="144"/>
    </row>
    <row r="56" spans="1:12" x14ac:dyDescent="0.25">
      <c r="A56" s="136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8"/>
    </row>
    <row r="57" spans="1:12" x14ac:dyDescent="0.25">
      <c r="A57" s="136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8"/>
    </row>
    <row r="58" spans="1:12" ht="16.5" x14ac:dyDescent="0.3">
      <c r="A58" s="139" t="s">
        <v>76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1"/>
    </row>
    <row r="59" spans="1:12" ht="16.5" x14ac:dyDescent="0.3">
      <c r="A59" s="142" t="s">
        <v>77</v>
      </c>
      <c r="B59" s="143"/>
      <c r="C59" s="143" t="s">
        <v>78</v>
      </c>
      <c r="D59" s="143"/>
      <c r="E59" s="143"/>
      <c r="F59" s="143" t="s">
        <v>79</v>
      </c>
      <c r="G59" s="143"/>
      <c r="H59" s="143"/>
      <c r="I59" s="143" t="s">
        <v>80</v>
      </c>
      <c r="J59" s="143"/>
      <c r="K59" s="143" t="s">
        <v>61</v>
      </c>
      <c r="L59" s="144"/>
    </row>
    <row r="60" spans="1:12" x14ac:dyDescent="0.25">
      <c r="A60" s="136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8"/>
    </row>
    <row r="61" spans="1:12" x14ac:dyDescent="0.25">
      <c r="A61" s="136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8"/>
    </row>
    <row r="62" spans="1:12" ht="16.5" thickBot="1" x14ac:dyDescent="0.3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5"/>
    </row>
  </sheetData>
  <mergeCells count="158">
    <mergeCell ref="A62:B62"/>
    <mergeCell ref="C62:E62"/>
    <mergeCell ref="F62:H62"/>
    <mergeCell ref="I62:J62"/>
    <mergeCell ref="K62:L62"/>
    <mergeCell ref="A60:B60"/>
    <mergeCell ref="C60:E60"/>
    <mergeCell ref="F60:H60"/>
    <mergeCell ref="I60:J60"/>
    <mergeCell ref="K60:L60"/>
    <mergeCell ref="A61:B61"/>
    <mergeCell ref="C61:E61"/>
    <mergeCell ref="F61:H61"/>
    <mergeCell ref="I61:J61"/>
    <mergeCell ref="K61:L61"/>
    <mergeCell ref="A57:D57"/>
    <mergeCell ref="E57:H57"/>
    <mergeCell ref="I57:L57"/>
    <mergeCell ref="A58:L58"/>
    <mergeCell ref="A59:B59"/>
    <mergeCell ref="C59:E59"/>
    <mergeCell ref="F59:H59"/>
    <mergeCell ref="I59:J59"/>
    <mergeCell ref="K59:L59"/>
    <mergeCell ref="A54:L54"/>
    <mergeCell ref="A55:D55"/>
    <mergeCell ref="E55:H55"/>
    <mergeCell ref="I55:L55"/>
    <mergeCell ref="A56:D56"/>
    <mergeCell ref="E56:H56"/>
    <mergeCell ref="I56:L56"/>
    <mergeCell ref="A50:C50"/>
    <mergeCell ref="D50:L50"/>
    <mergeCell ref="A51:L51"/>
    <mergeCell ref="A52:C52"/>
    <mergeCell ref="D52:L52"/>
    <mergeCell ref="A53:C53"/>
    <mergeCell ref="D53:L53"/>
    <mergeCell ref="C46:E46"/>
    <mergeCell ref="I46:J46"/>
    <mergeCell ref="C47:E47"/>
    <mergeCell ref="I47:J47"/>
    <mergeCell ref="A48:L48"/>
    <mergeCell ref="A49:L49"/>
    <mergeCell ref="A43:C43"/>
    <mergeCell ref="D43:F43"/>
    <mergeCell ref="G43:I43"/>
    <mergeCell ref="J43:L43"/>
    <mergeCell ref="A44:L44"/>
    <mergeCell ref="C45:E45"/>
    <mergeCell ref="I45:J45"/>
    <mergeCell ref="A41:C41"/>
    <mergeCell ref="D41:F41"/>
    <mergeCell ref="G41:I41"/>
    <mergeCell ref="J41:L41"/>
    <mergeCell ref="A42:C42"/>
    <mergeCell ref="D42:F42"/>
    <mergeCell ref="G42:I42"/>
    <mergeCell ref="J42:L42"/>
    <mergeCell ref="B39:C39"/>
    <mergeCell ref="D39:E39"/>
    <mergeCell ref="F39:G39"/>
    <mergeCell ref="H39:I39"/>
    <mergeCell ref="J39:L39"/>
    <mergeCell ref="A40:L40"/>
    <mergeCell ref="A37:L37"/>
    <mergeCell ref="B38:C38"/>
    <mergeCell ref="D38:E38"/>
    <mergeCell ref="F38:G38"/>
    <mergeCell ref="H38:I38"/>
    <mergeCell ref="J38:L38"/>
    <mergeCell ref="A36:B36"/>
    <mergeCell ref="C36:D36"/>
    <mergeCell ref="E36:G36"/>
    <mergeCell ref="H36:J36"/>
    <mergeCell ref="K36:L36"/>
    <mergeCell ref="A35:B35"/>
    <mergeCell ref="C35:D35"/>
    <mergeCell ref="E35:G35"/>
    <mergeCell ref="H35:J35"/>
    <mergeCell ref="K35:L35"/>
    <mergeCell ref="A32:D32"/>
    <mergeCell ref="E32:H32"/>
    <mergeCell ref="I32:L32"/>
    <mergeCell ref="A33:L33"/>
    <mergeCell ref="A34:B34"/>
    <mergeCell ref="C34:D34"/>
    <mergeCell ref="E34:G34"/>
    <mergeCell ref="H34:J34"/>
    <mergeCell ref="K34:L34"/>
    <mergeCell ref="A29:D29"/>
    <mergeCell ref="E29:H29"/>
    <mergeCell ref="I29:L29"/>
    <mergeCell ref="A30:L30"/>
    <mergeCell ref="A31:D31"/>
    <mergeCell ref="E31:H31"/>
    <mergeCell ref="I31:L31"/>
    <mergeCell ref="A27:D27"/>
    <mergeCell ref="E27:H27"/>
    <mergeCell ref="I27:L27"/>
    <mergeCell ref="A28:D28"/>
    <mergeCell ref="E28:H28"/>
    <mergeCell ref="I28:L28"/>
    <mergeCell ref="A24:B24"/>
    <mergeCell ref="C24:L24"/>
    <mergeCell ref="A25:L25"/>
    <mergeCell ref="A26:D26"/>
    <mergeCell ref="E26:H26"/>
    <mergeCell ref="I26:L26"/>
    <mergeCell ref="D18:E18"/>
    <mergeCell ref="F18:G18"/>
    <mergeCell ref="H18:I18"/>
    <mergeCell ref="A21:L21"/>
    <mergeCell ref="A22:L22"/>
    <mergeCell ref="A23:L23"/>
    <mergeCell ref="D19:E19"/>
    <mergeCell ref="F19:G19"/>
    <mergeCell ref="H19:I19"/>
    <mergeCell ref="D20:E20"/>
    <mergeCell ref="F20:G20"/>
    <mergeCell ref="H20:I20"/>
    <mergeCell ref="D16:E16"/>
    <mergeCell ref="F16:G16"/>
    <mergeCell ref="H16:I16"/>
    <mergeCell ref="D17:E17"/>
    <mergeCell ref="F17:G17"/>
    <mergeCell ref="H17:I17"/>
    <mergeCell ref="A13:B13"/>
    <mergeCell ref="C13:E13"/>
    <mergeCell ref="F13:G13"/>
    <mergeCell ref="H13:L13"/>
    <mergeCell ref="C14:L14"/>
    <mergeCell ref="A15:L15"/>
    <mergeCell ref="A10:B10"/>
    <mergeCell ref="C10:L10"/>
    <mergeCell ref="A11:B11"/>
    <mergeCell ref="C11:L11"/>
    <mergeCell ref="A12:B12"/>
    <mergeCell ref="C12:L12"/>
    <mergeCell ref="A8:B8"/>
    <mergeCell ref="C8:E8"/>
    <mergeCell ref="F8:G8"/>
    <mergeCell ref="H8:L8"/>
    <mergeCell ref="A9:B9"/>
    <mergeCell ref="C9:L9"/>
    <mergeCell ref="A5:L5"/>
    <mergeCell ref="A6:B6"/>
    <mergeCell ref="C6:E6"/>
    <mergeCell ref="F6:G6"/>
    <mergeCell ref="H6:L6"/>
    <mergeCell ref="A7:B7"/>
    <mergeCell ref="C7:L7"/>
    <mergeCell ref="A1:L1"/>
    <mergeCell ref="A2:L2"/>
    <mergeCell ref="A3:B3"/>
    <mergeCell ref="C3:L3"/>
    <mergeCell ref="A4:B4"/>
    <mergeCell ref="C4:L4"/>
  </mergeCells>
  <hyperlinks>
    <hyperlink ref="H17" r:id="rId1"/>
    <hyperlink ref="H18" r:id="rId2"/>
    <hyperlink ref="H19" r:id="rId3"/>
    <hyperlink ref="H20" r:id="rId4"/>
  </hyperlinks>
  <pageMargins left="0.7" right="0.7" top="0.75" bottom="0.75" header="0.3" footer="0.3"/>
  <pageSetup scale="61" orientation="portrait" r:id="rId5"/>
  <headerFooter>
    <oddHeader>&amp;C&amp;"-,Negrita"Ramo 33 Fondo de Aportaciones para los Servicios de Salud para el Ejercicio Fiscal 2015
Ficha Técnica de Indicadores
Componente 2</oddHeader>
    <oddFooter>&amp;L&amp;F&amp;C&amp;P&amp;R&amp;D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Y129"/>
  <sheetViews>
    <sheetView view="pageBreakPreview" topLeftCell="A76" zoomScale="60" zoomScaleNormal="90" zoomScalePageLayoutView="50" workbookViewId="0">
      <selection activeCell="M83" sqref="M83"/>
    </sheetView>
  </sheetViews>
  <sheetFormatPr baseColWidth="10" defaultColWidth="10.140625" defaultRowHeight="15.75" x14ac:dyDescent="0.25"/>
  <cols>
    <col min="1" max="1" width="3.5703125" style="1" customWidth="1"/>
    <col min="2" max="2" width="25.42578125" style="1" customWidth="1"/>
    <col min="3" max="4" width="24.140625" style="1" customWidth="1"/>
    <col min="5" max="6" width="24.140625" style="1" bestFit="1" customWidth="1"/>
    <col min="7" max="7" width="23" style="1" bestFit="1" customWidth="1"/>
    <col min="8" max="8" width="23.42578125" style="1" bestFit="1" customWidth="1"/>
    <col min="9" max="10" width="24.140625" style="1" bestFit="1" customWidth="1"/>
    <col min="11" max="11" width="23.7109375" style="1" bestFit="1" customWidth="1"/>
    <col min="12" max="12" width="24.7109375" style="1" bestFit="1" customWidth="1"/>
    <col min="13" max="13" width="42.28515625" style="1" customWidth="1"/>
    <col min="14" max="14" width="8.7109375" style="1" hidden="1" customWidth="1"/>
    <col min="15" max="16" width="0" style="1" hidden="1" customWidth="1"/>
    <col min="17" max="22" width="9.140625" style="1" hidden="1" customWidth="1"/>
    <col min="23" max="26" width="0" style="1" hidden="1" customWidth="1"/>
    <col min="27" max="16384" width="10.140625" style="1"/>
  </cols>
  <sheetData>
    <row r="1" spans="1:25" ht="24.75" x14ac:dyDescent="0.4">
      <c r="A1" s="267" t="s">
        <v>201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N1" s="43"/>
      <c r="O1" s="42"/>
    </row>
    <row r="2" spans="1:25" ht="21" x14ac:dyDescent="0.35">
      <c r="A2" s="226" t="s">
        <v>231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25" ht="16.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25" ht="23.25" x14ac:dyDescent="0.4">
      <c r="A4" s="225" t="s">
        <v>264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25" ht="16.5" x14ac:dyDescent="0.3">
      <c r="A5" s="2" t="s">
        <v>178</v>
      </c>
      <c r="B5" s="41"/>
      <c r="C5" s="41"/>
      <c r="D5" s="41"/>
      <c r="E5" s="41"/>
      <c r="F5" s="41"/>
      <c r="G5" s="41"/>
      <c r="H5" s="41"/>
      <c r="I5" s="41"/>
      <c r="J5" s="41"/>
      <c r="K5" s="270" t="s">
        <v>193</v>
      </c>
      <c r="L5" s="270"/>
    </row>
    <row r="6" spans="1:25" ht="16.5" x14ac:dyDescent="0.3">
      <c r="A6" s="2" t="s">
        <v>194</v>
      </c>
      <c r="B6" s="41"/>
      <c r="C6" s="41"/>
      <c r="D6" s="41"/>
      <c r="E6" s="41"/>
      <c r="F6" s="41"/>
    </row>
    <row r="7" spans="1:25" ht="17.25" customHeight="1" x14ac:dyDescent="0.3">
      <c r="A7" s="2" t="s">
        <v>200</v>
      </c>
      <c r="H7" s="269"/>
      <c r="I7" s="269"/>
      <c r="J7" s="269"/>
      <c r="K7" s="269"/>
      <c r="L7" s="269"/>
      <c r="S7" s="31" t="s">
        <v>91</v>
      </c>
    </row>
    <row r="8" spans="1:25" s="31" customFormat="1" ht="63.75" customHeight="1" x14ac:dyDescent="0.25">
      <c r="A8" s="229" t="s">
        <v>192</v>
      </c>
      <c r="B8" s="229"/>
      <c r="C8" s="89">
        <v>2009</v>
      </c>
      <c r="D8" s="89">
        <v>2010</v>
      </c>
      <c r="E8" s="89">
        <v>2011</v>
      </c>
      <c r="F8" s="89">
        <v>2012</v>
      </c>
      <c r="G8" s="89">
        <v>2013</v>
      </c>
      <c r="H8" s="89">
        <v>2014</v>
      </c>
      <c r="I8" s="89">
        <v>2015</v>
      </c>
      <c r="J8" s="89">
        <v>2016</v>
      </c>
      <c r="K8" s="89">
        <v>2017</v>
      </c>
      <c r="L8" s="89">
        <v>2018</v>
      </c>
      <c r="M8" s="131" t="s">
        <v>275</v>
      </c>
    </row>
    <row r="9" spans="1:25" x14ac:dyDescent="0.25">
      <c r="A9" s="6" t="s">
        <v>92</v>
      </c>
      <c r="B9" s="6" t="s">
        <v>93</v>
      </c>
      <c r="C9" s="10">
        <v>129858.28</v>
      </c>
      <c r="D9" s="10">
        <v>133394.57</v>
      </c>
      <c r="E9" s="10">
        <v>142322.14000000001</v>
      </c>
      <c r="F9" s="10">
        <v>24949.269999999997</v>
      </c>
      <c r="G9" s="10">
        <v>262386.44300000003</v>
      </c>
      <c r="H9" s="10">
        <v>281932.55858252471</v>
      </c>
      <c r="I9" s="10">
        <v>291884.77790048788</v>
      </c>
      <c r="J9" s="10">
        <v>303122.34184965666</v>
      </c>
      <c r="K9" s="10">
        <v>315814.86484596936</v>
      </c>
      <c r="L9" s="10">
        <v>329038.85688223765</v>
      </c>
      <c r="M9" s="66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x14ac:dyDescent="0.25">
      <c r="A10" s="6" t="s">
        <v>94</v>
      </c>
      <c r="B10" s="6" t="s">
        <v>95</v>
      </c>
      <c r="C10" s="10">
        <v>35806.97</v>
      </c>
      <c r="D10" s="10">
        <v>38930.559999999998</v>
      </c>
      <c r="E10" s="10">
        <v>447836.22</v>
      </c>
      <c r="F10" s="10">
        <v>1333791.2900000003</v>
      </c>
      <c r="G10" s="10">
        <v>341885.93400000001</v>
      </c>
      <c r="H10" s="10">
        <v>367354.25433545053</v>
      </c>
      <c r="I10" s="10">
        <v>380321.85951349197</v>
      </c>
      <c r="J10" s="10">
        <v>394964.25110476138</v>
      </c>
      <c r="K10" s="10">
        <v>411502.43436528463</v>
      </c>
      <c r="L10" s="10">
        <v>428733.11449050793</v>
      </c>
      <c r="M10" s="66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x14ac:dyDescent="0.25">
      <c r="A11" s="6" t="s">
        <v>96</v>
      </c>
      <c r="B11" s="6" t="s">
        <v>97</v>
      </c>
      <c r="C11" s="10">
        <v>74045.509999999995</v>
      </c>
      <c r="D11" s="10">
        <v>34641.64</v>
      </c>
      <c r="E11" s="10">
        <v>148038.54</v>
      </c>
      <c r="F11" s="10">
        <v>162287.03200000001</v>
      </c>
      <c r="G11" s="10">
        <v>169363.80900000001</v>
      </c>
      <c r="H11" s="10">
        <v>181980.33197413341</v>
      </c>
      <c r="I11" s="10">
        <v>188404.23769282034</v>
      </c>
      <c r="J11" s="10">
        <v>195657.80084399393</v>
      </c>
      <c r="K11" s="10">
        <v>203850.50324087657</v>
      </c>
      <c r="L11" s="10">
        <v>212386.25545368454</v>
      </c>
      <c r="M11" s="66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x14ac:dyDescent="0.25">
      <c r="A12" s="6" t="s">
        <v>98</v>
      </c>
      <c r="B12" s="6" t="s">
        <v>99</v>
      </c>
      <c r="C12" s="10">
        <v>25318</v>
      </c>
      <c r="D12" s="10">
        <v>93404</v>
      </c>
      <c r="E12" s="10">
        <v>102752</v>
      </c>
      <c r="F12" s="10">
        <v>132839</v>
      </c>
      <c r="G12" s="10">
        <v>316566.08</v>
      </c>
      <c r="H12" s="10">
        <v>340148.23279128113</v>
      </c>
      <c r="I12" s="10">
        <v>352155.46540881338</v>
      </c>
      <c r="J12" s="10">
        <v>365713.4508270527</v>
      </c>
      <c r="K12" s="10">
        <v>381026.82679386117</v>
      </c>
      <c r="L12" s="10">
        <v>396981.41374968441</v>
      </c>
      <c r="M12" s="66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x14ac:dyDescent="0.25">
      <c r="A13" s="6" t="s">
        <v>100</v>
      </c>
      <c r="B13" s="6" t="s">
        <v>101</v>
      </c>
      <c r="C13" s="10">
        <v>226344</v>
      </c>
      <c r="D13" s="10">
        <v>139091</v>
      </c>
      <c r="E13" s="10">
        <v>248202.53</v>
      </c>
      <c r="F13" s="10">
        <v>271120.66000000009</v>
      </c>
      <c r="G13" s="10">
        <v>323216.18800000002</v>
      </c>
      <c r="H13" s="10">
        <v>347293.73139956902</v>
      </c>
      <c r="I13" s="10">
        <v>359553.20011797384</v>
      </c>
      <c r="J13" s="10">
        <v>373395.99832251581</v>
      </c>
      <c r="K13" s="10">
        <v>389031.06258904317</v>
      </c>
      <c r="L13" s="10">
        <v>405320.80777265766</v>
      </c>
      <c r="M13" s="66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x14ac:dyDescent="0.25">
      <c r="A14" s="6" t="s">
        <v>102</v>
      </c>
      <c r="B14" s="6" t="s">
        <v>103</v>
      </c>
      <c r="C14" s="10">
        <v>15323.2</v>
      </c>
      <c r="D14" s="10">
        <v>221145.4</v>
      </c>
      <c r="E14" s="10">
        <v>169906.7</v>
      </c>
      <c r="F14" s="10">
        <v>40472.300000000003</v>
      </c>
      <c r="G14" s="10">
        <v>195249.78099999999</v>
      </c>
      <c r="H14" s="10">
        <v>209794.64369661672</v>
      </c>
      <c r="I14" s="10">
        <v>217200.3946191073</v>
      </c>
      <c r="J14" s="10">
        <v>225562.60981194294</v>
      </c>
      <c r="K14" s="10">
        <v>235007.50455205538</v>
      </c>
      <c r="L14" s="10">
        <v>244847.88166722181</v>
      </c>
      <c r="M14" s="66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x14ac:dyDescent="0.25">
      <c r="A15" s="6" t="s">
        <v>104</v>
      </c>
      <c r="B15" s="6" t="s">
        <v>105</v>
      </c>
      <c r="C15" s="10">
        <v>581416.01</v>
      </c>
      <c r="D15" s="10">
        <v>608889.1</v>
      </c>
      <c r="E15" s="10">
        <v>633815.11</v>
      </c>
      <c r="F15" s="10">
        <v>731196.65999999992</v>
      </c>
      <c r="G15" s="10">
        <v>841075.39899999998</v>
      </c>
      <c r="H15" s="10">
        <v>903730.14889678534</v>
      </c>
      <c r="I15" s="10">
        <v>935631.823152842</v>
      </c>
      <c r="J15" s="10">
        <v>971653.64834422641</v>
      </c>
      <c r="K15" s="10">
        <v>1012339.320673114</v>
      </c>
      <c r="L15" s="10">
        <v>1054728.6082106456</v>
      </c>
      <c r="M15" s="66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x14ac:dyDescent="0.25">
      <c r="A16" s="6" t="s">
        <v>106</v>
      </c>
      <c r="B16" s="6" t="s">
        <v>107</v>
      </c>
      <c r="C16" s="10">
        <v>27854</v>
      </c>
      <c r="D16" s="10">
        <v>28308</v>
      </c>
      <c r="E16" s="10">
        <v>44403</v>
      </c>
      <c r="F16" s="10">
        <v>431944</v>
      </c>
      <c r="G16" s="10">
        <v>446741.16799999995</v>
      </c>
      <c r="H16" s="10">
        <v>480020.53413401969</v>
      </c>
      <c r="I16" s="10">
        <v>496965.25898895063</v>
      </c>
      <c r="J16" s="10">
        <v>516098.42146002525</v>
      </c>
      <c r="K16" s="10">
        <v>537708.80835123966</v>
      </c>
      <c r="L16" s="10">
        <v>560224.0785014783</v>
      </c>
      <c r="M16" s="66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x14ac:dyDescent="0.25">
      <c r="A17" s="6" t="s">
        <v>108</v>
      </c>
      <c r="B17" s="6" t="s">
        <v>109</v>
      </c>
      <c r="C17" s="10">
        <v>616665.69999999995</v>
      </c>
      <c r="D17" s="10">
        <v>737718.8</v>
      </c>
      <c r="E17" s="10">
        <v>1509606.3</v>
      </c>
      <c r="F17" s="10">
        <v>784556.05</v>
      </c>
      <c r="G17" s="10">
        <v>862617.80000000016</v>
      </c>
      <c r="H17" s="10">
        <v>926877.32129829843</v>
      </c>
      <c r="I17" s="10">
        <v>959596.09074012842</v>
      </c>
      <c r="J17" s="10">
        <v>996540.54023362335</v>
      </c>
      <c r="K17" s="10">
        <v>1038268.2916309341</v>
      </c>
      <c r="L17" s="10">
        <v>1081743.2928052258</v>
      </c>
      <c r="M17" s="66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x14ac:dyDescent="0.25">
      <c r="A18" s="6" t="s">
        <v>110</v>
      </c>
      <c r="B18" s="6" t="s">
        <v>111</v>
      </c>
      <c r="C18" s="10">
        <v>32676.12</v>
      </c>
      <c r="D18" s="10">
        <v>34468.550000000003</v>
      </c>
      <c r="E18" s="10">
        <v>56246.47</v>
      </c>
      <c r="F18" s="10">
        <v>159595.75</v>
      </c>
      <c r="G18" s="10">
        <v>374197.86099999998</v>
      </c>
      <c r="H18" s="10">
        <v>402073.21369815571</v>
      </c>
      <c r="I18" s="10">
        <v>416266.39814170066</v>
      </c>
      <c r="J18" s="10">
        <v>432292.65447015612</v>
      </c>
      <c r="K18" s="10">
        <v>450393.8753320644</v>
      </c>
      <c r="L18" s="10">
        <v>469253.04151944484</v>
      </c>
      <c r="M18" s="66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x14ac:dyDescent="0.25">
      <c r="A19" s="6" t="s">
        <v>112</v>
      </c>
      <c r="B19" s="6" t="s">
        <v>113</v>
      </c>
      <c r="C19" s="10">
        <v>40185.800000000003</v>
      </c>
      <c r="D19" s="10">
        <v>288505.05</v>
      </c>
      <c r="E19" s="10">
        <v>554353.92000000004</v>
      </c>
      <c r="F19" s="10">
        <v>592223.33999999985</v>
      </c>
      <c r="G19" s="10">
        <v>623715.28399999987</v>
      </c>
      <c r="H19" s="10">
        <v>670178.09241442417</v>
      </c>
      <c r="I19" s="10">
        <v>693835.37907665339</v>
      </c>
      <c r="J19" s="10">
        <v>720548.04117110453</v>
      </c>
      <c r="K19" s="10">
        <v>750719.26684423012</v>
      </c>
      <c r="L19" s="10">
        <v>782153.84042284603</v>
      </c>
      <c r="M19" s="66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x14ac:dyDescent="0.25">
      <c r="A20" s="6" t="s">
        <v>114</v>
      </c>
      <c r="B20" s="6" t="s">
        <v>115</v>
      </c>
      <c r="C20" s="10">
        <v>1045780.75</v>
      </c>
      <c r="D20" s="10">
        <v>972313.85</v>
      </c>
      <c r="E20" s="10">
        <v>767370.1</v>
      </c>
      <c r="F20" s="10">
        <v>842860.2000000003</v>
      </c>
      <c r="G20" s="10">
        <v>852738.125</v>
      </c>
      <c r="H20" s="10">
        <v>916261.67355801538</v>
      </c>
      <c r="I20" s="10">
        <v>948605.71063461341</v>
      </c>
      <c r="J20" s="10">
        <v>985127.03049404605</v>
      </c>
      <c r="K20" s="10">
        <v>1026376.8684721274</v>
      </c>
      <c r="L20" s="10">
        <v>1069353.9447459283</v>
      </c>
      <c r="M20" s="6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x14ac:dyDescent="0.25">
      <c r="A21" s="6" t="s">
        <v>116</v>
      </c>
      <c r="B21" s="6" t="s">
        <v>117</v>
      </c>
      <c r="C21" s="10">
        <v>45817</v>
      </c>
      <c r="D21" s="10">
        <v>451760</v>
      </c>
      <c r="E21" s="10">
        <v>42699</v>
      </c>
      <c r="F21" s="10">
        <v>495860</v>
      </c>
      <c r="G21" s="10">
        <v>540946.99399999995</v>
      </c>
      <c r="H21" s="10">
        <v>581244.09299586294</v>
      </c>
      <c r="I21" s="10">
        <v>601762.00947861699</v>
      </c>
      <c r="J21" s="10">
        <v>624929.8468435437</v>
      </c>
      <c r="K21" s="10">
        <v>651097.28934792348</v>
      </c>
      <c r="L21" s="10">
        <v>678360.43091465172</v>
      </c>
      <c r="M21" s="66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x14ac:dyDescent="0.25">
      <c r="A22" s="6" t="s">
        <v>118</v>
      </c>
      <c r="B22" s="6" t="s">
        <v>119</v>
      </c>
      <c r="C22" s="10">
        <v>934166.92</v>
      </c>
      <c r="D22" s="10">
        <v>923993.88</v>
      </c>
      <c r="E22" s="10">
        <v>857759.9</v>
      </c>
      <c r="F22" s="10">
        <v>930070.68400000001</v>
      </c>
      <c r="G22" s="10">
        <v>970024.728</v>
      </c>
      <c r="H22" s="10">
        <v>1042285.380016214</v>
      </c>
      <c r="I22" s="10">
        <v>1079078.0539307864</v>
      </c>
      <c r="J22" s="10">
        <v>1120622.5590071217</v>
      </c>
      <c r="K22" s="10">
        <v>1167545.9481363839</v>
      </c>
      <c r="L22" s="10">
        <v>1216434.1419446871</v>
      </c>
      <c r="M22" s="66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x14ac:dyDescent="0.25">
      <c r="A23" s="6" t="s">
        <v>120</v>
      </c>
      <c r="B23" s="6" t="s">
        <v>121</v>
      </c>
      <c r="C23" s="10">
        <v>2378533</v>
      </c>
      <c r="D23" s="10">
        <v>959700.44</v>
      </c>
      <c r="E23" s="10">
        <v>2275240.5699999998</v>
      </c>
      <c r="F23" s="10">
        <v>1894006.6299999997</v>
      </c>
      <c r="G23" s="10">
        <v>1829305.56</v>
      </c>
      <c r="H23" s="10">
        <v>1965577.1504933976</v>
      </c>
      <c r="I23" s="10">
        <v>2034962.0239058149</v>
      </c>
      <c r="J23" s="10">
        <v>2113308.0618261886</v>
      </c>
      <c r="K23" s="10">
        <v>2201797.7818822763</v>
      </c>
      <c r="L23" s="10">
        <v>2293992.7972983024</v>
      </c>
      <c r="M23" s="66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x14ac:dyDescent="0.25">
      <c r="A24" s="6" t="s">
        <v>122</v>
      </c>
      <c r="B24" s="6" t="s">
        <v>123</v>
      </c>
      <c r="C24" s="10">
        <v>53171.93</v>
      </c>
      <c r="D24" s="10">
        <v>29046.6</v>
      </c>
      <c r="E24" s="10">
        <v>28780.78</v>
      </c>
      <c r="F24" s="10">
        <v>34728</v>
      </c>
      <c r="G24" s="10">
        <v>581731.02599999995</v>
      </c>
      <c r="H24" s="10">
        <v>625066.27511626901</v>
      </c>
      <c r="I24" s="10">
        <v>647131.11462787341</v>
      </c>
      <c r="J24" s="10">
        <v>672045.66254104651</v>
      </c>
      <c r="K24" s="10">
        <v>700185.96712672804</v>
      </c>
      <c r="L24" s="10">
        <v>729504.57965532644</v>
      </c>
      <c r="M24" s="66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x14ac:dyDescent="0.25">
      <c r="A25" s="6" t="s">
        <v>124</v>
      </c>
      <c r="B25" s="6" t="s">
        <v>125</v>
      </c>
      <c r="C25" s="10">
        <v>61719</v>
      </c>
      <c r="D25" s="10">
        <v>27278.240000000002</v>
      </c>
      <c r="E25" s="10">
        <v>36429.94</v>
      </c>
      <c r="F25" s="10">
        <v>15959.140000000003</v>
      </c>
      <c r="G25" s="10">
        <v>325428.31199999998</v>
      </c>
      <c r="H25" s="10">
        <v>349670.64452088386</v>
      </c>
      <c r="I25" s="10">
        <v>362014.01827247109</v>
      </c>
      <c r="J25" s="10">
        <v>375951.55797596124</v>
      </c>
      <c r="K25" s="10">
        <v>391693.63019007794</v>
      </c>
      <c r="L25" s="10">
        <v>408094.86402312404</v>
      </c>
      <c r="M25" s="66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x14ac:dyDescent="0.25">
      <c r="A26" s="6" t="s">
        <v>126</v>
      </c>
      <c r="B26" s="6" t="s">
        <v>127</v>
      </c>
      <c r="C26" s="10">
        <v>329613.40000000002</v>
      </c>
      <c r="D26" s="10">
        <v>399614.2</v>
      </c>
      <c r="E26" s="10">
        <v>220107</v>
      </c>
      <c r="F26" s="10">
        <v>244735.80999999997</v>
      </c>
      <c r="G26" s="10">
        <v>255444.53400000001</v>
      </c>
      <c r="H26" s="10">
        <v>274473.52166186704</v>
      </c>
      <c r="I26" s="10">
        <v>284162.436976531</v>
      </c>
      <c r="J26" s="10">
        <v>295102.69080012746</v>
      </c>
      <c r="K26" s="10">
        <v>307459.41009174642</v>
      </c>
      <c r="L26" s="10">
        <v>320333.53744642937</v>
      </c>
      <c r="M26" s="66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x14ac:dyDescent="0.25">
      <c r="A27" s="6" t="s">
        <v>128</v>
      </c>
      <c r="B27" s="6" t="s">
        <v>129</v>
      </c>
      <c r="C27" s="10">
        <v>149356.85</v>
      </c>
      <c r="D27" s="10">
        <v>277131.17</v>
      </c>
      <c r="E27" s="10">
        <v>33712.480000000003</v>
      </c>
      <c r="F27" s="10">
        <v>117255.48000000001</v>
      </c>
      <c r="G27" s="10">
        <v>489069.77700000006</v>
      </c>
      <c r="H27" s="10">
        <v>525502.35438419669</v>
      </c>
      <c r="I27" s="10">
        <v>544052.58749395888</v>
      </c>
      <c r="J27" s="10">
        <v>564998.61211247626</v>
      </c>
      <c r="K27" s="10">
        <v>588656.57751800609</v>
      </c>
      <c r="L27" s="10">
        <v>613305.16363503924</v>
      </c>
      <c r="M27" s="66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x14ac:dyDescent="0.25">
      <c r="A28" s="6" t="s">
        <v>130</v>
      </c>
      <c r="B28" s="6" t="s">
        <v>131</v>
      </c>
      <c r="C28" s="10">
        <v>460218.52</v>
      </c>
      <c r="D28" s="10">
        <v>965332.32</v>
      </c>
      <c r="E28" s="10">
        <v>1010262.32</v>
      </c>
      <c r="F28" s="10">
        <v>676744.13</v>
      </c>
      <c r="G28" s="10">
        <v>684367.54200000002</v>
      </c>
      <c r="H28" s="10">
        <v>735348.55658260314</v>
      </c>
      <c r="I28" s="10">
        <v>761306.36062996916</v>
      </c>
      <c r="J28" s="10">
        <v>790616.65551422292</v>
      </c>
      <c r="K28" s="10">
        <v>823721.83680884109</v>
      </c>
      <c r="L28" s="10">
        <v>858213.21838257764</v>
      </c>
      <c r="M28" s="66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x14ac:dyDescent="0.25">
      <c r="A29" s="6" t="s">
        <v>132</v>
      </c>
      <c r="B29" s="6" t="s">
        <v>133</v>
      </c>
      <c r="C29" s="10">
        <v>54357</v>
      </c>
      <c r="D29" s="10">
        <v>8644</v>
      </c>
      <c r="E29" s="10">
        <v>51068.07</v>
      </c>
      <c r="F29" s="10">
        <v>22933.869999999995</v>
      </c>
      <c r="G29" s="10">
        <v>568747.32999999996</v>
      </c>
      <c r="H29" s="10">
        <v>611115.3766198185</v>
      </c>
      <c r="I29" s="10">
        <v>632687.74941449822</v>
      </c>
      <c r="J29" s="10">
        <v>657046.22776695644</v>
      </c>
      <c r="K29" s="10">
        <v>684558.46690012095</v>
      </c>
      <c r="L29" s="10">
        <v>713222.71523771074</v>
      </c>
      <c r="M29" s="66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x14ac:dyDescent="0.25">
      <c r="A30" s="6" t="s">
        <v>134</v>
      </c>
      <c r="B30" s="6" t="s">
        <v>135</v>
      </c>
      <c r="C30" s="10">
        <v>364638.52</v>
      </c>
      <c r="D30" s="10">
        <v>320454.63</v>
      </c>
      <c r="E30" s="10">
        <v>346518.81</v>
      </c>
      <c r="F30" s="10">
        <v>352325.57</v>
      </c>
      <c r="G30" s="10">
        <v>337177.36099999998</v>
      </c>
      <c r="H30" s="10">
        <v>362294.92269474303</v>
      </c>
      <c r="I30" s="10">
        <v>375083.93346586748</v>
      </c>
      <c r="J30" s="10">
        <v>389524.66490430338</v>
      </c>
      <c r="K30" s="10">
        <v>405835.07850417268</v>
      </c>
      <c r="L30" s="10">
        <v>422828.45165902714</v>
      </c>
      <c r="M30" s="66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x14ac:dyDescent="0.25">
      <c r="A31" s="6" t="s">
        <v>136</v>
      </c>
      <c r="B31" s="6" t="s">
        <v>137</v>
      </c>
      <c r="C31" s="10">
        <v>29576.53</v>
      </c>
      <c r="D31" s="10">
        <v>45029.1</v>
      </c>
      <c r="E31" s="10">
        <v>312084.67</v>
      </c>
      <c r="F31" s="10">
        <v>246242.07999999996</v>
      </c>
      <c r="G31" s="10">
        <v>276283.033</v>
      </c>
      <c r="H31" s="10">
        <v>296864.35585633561</v>
      </c>
      <c r="I31" s="10">
        <v>307343.66761806427</v>
      </c>
      <c r="J31" s="10">
        <v>319176.39882135973</v>
      </c>
      <c r="K31" s="10">
        <v>332541.14705205819</v>
      </c>
      <c r="L31" s="10">
        <v>346465.5121464394</v>
      </c>
      <c r="M31" s="66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x14ac:dyDescent="0.25">
      <c r="A32" s="6" t="s">
        <v>138</v>
      </c>
      <c r="B32" s="6" t="s">
        <v>139</v>
      </c>
      <c r="C32" s="10">
        <v>293836.38</v>
      </c>
      <c r="D32" s="10">
        <v>321813.75</v>
      </c>
      <c r="E32" s="10">
        <v>440526.14</v>
      </c>
      <c r="F32" s="10">
        <v>439052.74</v>
      </c>
      <c r="G32" s="10">
        <v>419093.22799999994</v>
      </c>
      <c r="H32" s="10">
        <v>450312.99903954793</v>
      </c>
      <c r="I32" s="10">
        <v>466209.04790564399</v>
      </c>
      <c r="J32" s="10">
        <v>484158.09625001129</v>
      </c>
      <c r="K32" s="10">
        <v>504431.05842431431</v>
      </c>
      <c r="L32" s="10">
        <v>525552.90239674074</v>
      </c>
      <c r="M32" s="66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x14ac:dyDescent="0.25">
      <c r="A33" s="6" t="s">
        <v>140</v>
      </c>
      <c r="B33" s="6" t="s">
        <v>141</v>
      </c>
      <c r="C33" s="10">
        <v>60816.84</v>
      </c>
      <c r="D33" s="10">
        <v>443844.94</v>
      </c>
      <c r="E33" s="10">
        <v>510508.5</v>
      </c>
      <c r="F33" s="10">
        <v>53751.770000000004</v>
      </c>
      <c r="G33" s="10">
        <v>412206.44500000001</v>
      </c>
      <c r="H33" s="10">
        <v>442913.19465410331</v>
      </c>
      <c r="I33" s="10">
        <v>458548.0304253932</v>
      </c>
      <c r="J33" s="10">
        <v>476202.1295967708</v>
      </c>
      <c r="K33" s="10">
        <v>496141.95469814161</v>
      </c>
      <c r="L33" s="10">
        <v>516916.71227957064</v>
      </c>
      <c r="M33" s="66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x14ac:dyDescent="0.25">
      <c r="A34" s="6" t="s">
        <v>142</v>
      </c>
      <c r="B34" s="6" t="s">
        <v>143</v>
      </c>
      <c r="C34" s="10">
        <v>309256.52</v>
      </c>
      <c r="D34" s="10">
        <v>283885.2</v>
      </c>
      <c r="E34" s="10">
        <v>424944.59</v>
      </c>
      <c r="F34" s="10">
        <v>112477.22</v>
      </c>
      <c r="G34" s="10">
        <v>427315.06400000001</v>
      </c>
      <c r="H34" s="10">
        <v>459147.30935384234</v>
      </c>
      <c r="I34" s="10">
        <v>475355.20937403303</v>
      </c>
      <c r="J34" s="10">
        <v>493656.38493493327</v>
      </c>
      <c r="K34" s="10">
        <v>514327.06522801088</v>
      </c>
      <c r="L34" s="10">
        <v>535863.28081409377</v>
      </c>
      <c r="M34" s="66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x14ac:dyDescent="0.25">
      <c r="A35" s="6" t="s">
        <v>144</v>
      </c>
      <c r="B35" s="6" t="s">
        <v>145</v>
      </c>
      <c r="C35" s="10">
        <v>150898.89000000001</v>
      </c>
      <c r="D35" s="10">
        <v>128755.62</v>
      </c>
      <c r="E35" s="10">
        <v>161052.99</v>
      </c>
      <c r="F35" s="10">
        <v>148048.28999999998</v>
      </c>
      <c r="G35" s="10">
        <v>460226.28100000008</v>
      </c>
      <c r="H35" s="10">
        <v>494510.20199717412</v>
      </c>
      <c r="I35" s="10">
        <v>511966.41212767444</v>
      </c>
      <c r="J35" s="10">
        <v>531677.1189945899</v>
      </c>
      <c r="K35" s="10">
        <v>553939.82658081967</v>
      </c>
      <c r="L35" s="10">
        <v>577134.73179482634</v>
      </c>
      <c r="M35" s="66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x14ac:dyDescent="0.25">
      <c r="A36" s="6" t="s">
        <v>146</v>
      </c>
      <c r="B36" s="6" t="s">
        <v>147</v>
      </c>
      <c r="C36" s="10">
        <v>468325</v>
      </c>
      <c r="D36" s="10">
        <v>499256.8</v>
      </c>
      <c r="E36" s="10">
        <v>530873</v>
      </c>
      <c r="F36" s="10">
        <v>574729</v>
      </c>
      <c r="G36" s="10">
        <v>606575.00100000005</v>
      </c>
      <c r="H36" s="10">
        <v>651760.96771176369</v>
      </c>
      <c r="I36" s="10">
        <v>674768.12987198902</v>
      </c>
      <c r="J36" s="10">
        <v>700746.70287206059</v>
      </c>
      <c r="K36" s="10">
        <v>730088.79486871487</v>
      </c>
      <c r="L36" s="10">
        <v>760659.51678144501</v>
      </c>
      <c r="M36" s="66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x14ac:dyDescent="0.25">
      <c r="A37" s="6" t="s">
        <v>148</v>
      </c>
      <c r="B37" s="6" t="s">
        <v>149</v>
      </c>
      <c r="C37" s="10">
        <v>66468.08</v>
      </c>
      <c r="D37" s="10">
        <v>64087</v>
      </c>
      <c r="E37" s="10">
        <v>69183</v>
      </c>
      <c r="F37" s="10">
        <v>234807</v>
      </c>
      <c r="G37" s="10">
        <v>232034.446</v>
      </c>
      <c r="H37" s="10">
        <v>249319.53149751216</v>
      </c>
      <c r="I37" s="10">
        <v>258120.51095937437</v>
      </c>
      <c r="J37" s="10">
        <v>268058.1506313103</v>
      </c>
      <c r="K37" s="10">
        <v>279282.44449390011</v>
      </c>
      <c r="L37" s="10">
        <v>290976.72881347494</v>
      </c>
      <c r="M37" s="66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x14ac:dyDescent="0.25">
      <c r="A38" s="6" t="s">
        <v>150</v>
      </c>
      <c r="B38" s="6" t="s">
        <v>151</v>
      </c>
      <c r="C38" s="10">
        <v>131198.15</v>
      </c>
      <c r="D38" s="10">
        <v>121021.75999999999</v>
      </c>
      <c r="E38" s="10">
        <v>50467.75</v>
      </c>
      <c r="F38" s="10">
        <v>89240.810000000012</v>
      </c>
      <c r="G38" s="10">
        <v>820523.51699999999</v>
      </c>
      <c r="H38" s="10">
        <v>881647.28283976833</v>
      </c>
      <c r="I38" s="10">
        <v>912769.43192401226</v>
      </c>
      <c r="J38" s="10">
        <v>947911.05505308672</v>
      </c>
      <c r="K38" s="10">
        <v>987602.56308019103</v>
      </c>
      <c r="L38" s="10">
        <v>1028956.0580638432</v>
      </c>
      <c r="M38" s="66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x14ac:dyDescent="0.25">
      <c r="A39" s="6" t="s">
        <v>152</v>
      </c>
      <c r="B39" s="6" t="s">
        <v>153</v>
      </c>
      <c r="C39" s="10">
        <v>1575.43</v>
      </c>
      <c r="D39" s="10">
        <v>68118.78</v>
      </c>
      <c r="E39" s="10">
        <v>325313.06</v>
      </c>
      <c r="F39" s="10">
        <v>345153.50099999999</v>
      </c>
      <c r="G39" s="10">
        <v>361734.90700000001</v>
      </c>
      <c r="H39" s="10">
        <v>388681.84915758646</v>
      </c>
      <c r="I39" s="10">
        <v>402402.31843284931</v>
      </c>
      <c r="J39" s="10">
        <v>417894.80769251398</v>
      </c>
      <c r="K39" s="10">
        <v>435393.15316025802</v>
      </c>
      <c r="L39" s="10">
        <v>453624.19998842146</v>
      </c>
      <c r="M39" s="66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x14ac:dyDescent="0.25">
      <c r="A40" s="6" t="s">
        <v>154</v>
      </c>
      <c r="B40" s="6" t="s">
        <v>155</v>
      </c>
      <c r="C40" s="10">
        <v>134140.92000000001</v>
      </c>
      <c r="D40" s="10">
        <v>129326.9</v>
      </c>
      <c r="E40" s="10">
        <v>142326.24</v>
      </c>
      <c r="F40" s="10">
        <v>159806.33000000002</v>
      </c>
      <c r="G40" s="10">
        <v>286400.56199999998</v>
      </c>
      <c r="H40" s="10">
        <v>307735.57620175142</v>
      </c>
      <c r="I40" s="10">
        <v>318598.6420416733</v>
      </c>
      <c r="J40" s="10">
        <v>330864.68976027769</v>
      </c>
      <c r="K40" s="10">
        <v>344718.85721565143</v>
      </c>
      <c r="L40" s="10">
        <v>359153.13479405036</v>
      </c>
      <c r="M40" s="66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s="2" customFormat="1" ht="16.5" x14ac:dyDescent="0.3">
      <c r="A41" s="227" t="s">
        <v>156</v>
      </c>
      <c r="B41" s="228"/>
      <c r="C41" s="110">
        <f>SUM(C9:C40)</f>
        <v>9328959.2199999988</v>
      </c>
      <c r="D41" s="110">
        <f>SUM(D9:D40)</f>
        <v>9798905.8499999978</v>
      </c>
      <c r="E41" s="110">
        <f>SUM(E9:E40)</f>
        <v>12694711.840000004</v>
      </c>
      <c r="F41" s="110">
        <f>SUM(F9:F40)</f>
        <v>12695763.607000003</v>
      </c>
      <c r="G41" s="110">
        <f>SUM(G9:G40)</f>
        <v>16494389.520000003</v>
      </c>
      <c r="H41" s="110">
        <v>17723116.280174512</v>
      </c>
      <c r="I41" s="110">
        <v>18348742.284864675</v>
      </c>
      <c r="J41" s="110">
        <v>19055168.862831965</v>
      </c>
      <c r="K41" s="110">
        <v>19853058.478999142</v>
      </c>
      <c r="L41" s="110">
        <v>20684357.814291343</v>
      </c>
      <c r="M41" s="67"/>
      <c r="N41" s="23">
        <f t="shared" ref="N41:Y41" si="0">SUM(N9:N40)</f>
        <v>0</v>
      </c>
      <c r="O41" s="23">
        <f t="shared" si="0"/>
        <v>0</v>
      </c>
      <c r="P41" s="23">
        <f t="shared" si="0"/>
        <v>0</v>
      </c>
      <c r="Q41" s="23">
        <f t="shared" si="0"/>
        <v>0</v>
      </c>
      <c r="R41" s="23">
        <f t="shared" si="0"/>
        <v>0</v>
      </c>
      <c r="S41" s="23">
        <f t="shared" si="0"/>
        <v>0</v>
      </c>
      <c r="T41" s="22">
        <f t="shared" si="0"/>
        <v>0</v>
      </c>
      <c r="U41" s="22">
        <f t="shared" si="0"/>
        <v>0</v>
      </c>
      <c r="V41" s="22">
        <f t="shared" si="0"/>
        <v>0</v>
      </c>
      <c r="W41" s="22">
        <f t="shared" si="0"/>
        <v>0</v>
      </c>
      <c r="X41" s="22">
        <f t="shared" si="0"/>
        <v>0</v>
      </c>
      <c r="Y41" s="22">
        <f t="shared" si="0"/>
        <v>0</v>
      </c>
    </row>
    <row r="42" spans="1:25" ht="16.5" x14ac:dyDescent="0.3">
      <c r="C42" s="16"/>
      <c r="D42" s="16"/>
      <c r="E42" s="16"/>
      <c r="F42" s="16"/>
      <c r="G42" s="14"/>
      <c r="M42" s="39"/>
    </row>
    <row r="43" spans="1:25" ht="16.5" x14ac:dyDescent="0.3">
      <c r="C43" s="16"/>
      <c r="D43" s="16"/>
      <c r="E43" s="16"/>
      <c r="F43" s="16"/>
      <c r="G43" s="40"/>
      <c r="H43" s="16"/>
      <c r="I43" s="38"/>
      <c r="J43" s="38"/>
      <c r="K43" s="38"/>
      <c r="L43" s="39"/>
      <c r="M43" s="12"/>
    </row>
    <row r="44" spans="1:25" x14ac:dyDescent="0.25">
      <c r="C44" s="16"/>
      <c r="D44" s="16"/>
      <c r="E44" s="16"/>
      <c r="F44" s="16"/>
      <c r="G44" s="16"/>
      <c r="H44" s="12"/>
      <c r="I44" s="38"/>
      <c r="J44" s="38"/>
      <c r="K44" s="38"/>
      <c r="L44" s="38"/>
      <c r="M44" s="36"/>
    </row>
    <row r="45" spans="1:25" ht="16.5" x14ac:dyDescent="0.3">
      <c r="A45" s="2" t="s">
        <v>195</v>
      </c>
      <c r="C45" s="16"/>
      <c r="D45" s="16"/>
      <c r="E45" s="16"/>
      <c r="F45" s="16"/>
      <c r="G45" s="39"/>
      <c r="H45" s="38"/>
      <c r="I45" s="38"/>
      <c r="J45" s="38"/>
      <c r="K45" s="38"/>
      <c r="L45" s="12"/>
      <c r="M45" s="37"/>
    </row>
    <row r="46" spans="1:25" ht="16.5" x14ac:dyDescent="0.3">
      <c r="A46" s="2" t="s">
        <v>194</v>
      </c>
      <c r="C46" s="16"/>
      <c r="D46" s="16"/>
      <c r="E46" s="16"/>
      <c r="F46" s="16"/>
      <c r="G46" s="16"/>
      <c r="J46" s="16"/>
      <c r="K46" s="16"/>
      <c r="L46" s="16"/>
      <c r="M46" s="37"/>
    </row>
    <row r="47" spans="1:25" ht="15.75" customHeight="1" x14ac:dyDescent="0.25">
      <c r="A47" s="271" t="s">
        <v>265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37"/>
    </row>
    <row r="48" spans="1:25" ht="16.5" x14ac:dyDescent="0.3">
      <c r="B48" s="2"/>
      <c r="C48" s="12"/>
      <c r="D48" s="12"/>
      <c r="E48" s="12"/>
      <c r="F48" s="12"/>
      <c r="G48" s="12"/>
      <c r="K48" s="270" t="s">
        <v>193</v>
      </c>
      <c r="L48" s="270"/>
    </row>
    <row r="49" spans="1:12" s="2" customFormat="1" ht="38.25" customHeight="1" x14ac:dyDescent="0.3">
      <c r="A49" s="229" t="s">
        <v>192</v>
      </c>
      <c r="B49" s="229"/>
      <c r="C49" s="89">
        <v>2009</v>
      </c>
      <c r="D49" s="89">
        <v>2010</v>
      </c>
      <c r="E49" s="89">
        <v>2011</v>
      </c>
      <c r="F49" s="89">
        <v>2012</v>
      </c>
      <c r="G49" s="89">
        <v>2013</v>
      </c>
      <c r="H49" s="89">
        <v>2014</v>
      </c>
      <c r="I49" s="89">
        <v>2015</v>
      </c>
      <c r="J49" s="89">
        <v>2016</v>
      </c>
      <c r="K49" s="89">
        <v>2017</v>
      </c>
      <c r="L49" s="89">
        <v>2018</v>
      </c>
    </row>
    <row r="50" spans="1:12" x14ac:dyDescent="0.25">
      <c r="A50" s="6" t="s">
        <v>92</v>
      </c>
      <c r="B50" s="6" t="s">
        <v>93</v>
      </c>
      <c r="C50" s="11">
        <v>786965.1</v>
      </c>
      <c r="D50" s="11">
        <v>900513.1</v>
      </c>
      <c r="E50" s="11">
        <v>1014167.74</v>
      </c>
      <c r="F50" s="11">
        <v>1107715.76</v>
      </c>
      <c r="G50" s="10">
        <v>1178363.2960000001</v>
      </c>
      <c r="H50" s="10">
        <v>1250514.2760000001</v>
      </c>
      <c r="I50" s="10">
        <v>1359567.8250000002</v>
      </c>
      <c r="J50" s="10">
        <v>1340099.9182389348</v>
      </c>
      <c r="K50" s="10">
        <v>1387271.4353609451</v>
      </c>
      <c r="L50" s="10">
        <v>1436103.3898856502</v>
      </c>
    </row>
    <row r="51" spans="1:12" x14ac:dyDescent="0.25">
      <c r="A51" s="6" t="s">
        <v>94</v>
      </c>
      <c r="B51" s="6" t="s">
        <v>95</v>
      </c>
      <c r="C51" s="11">
        <v>1035862.87</v>
      </c>
      <c r="D51" s="11">
        <v>1128160.58</v>
      </c>
      <c r="E51" s="11">
        <v>1301223.25</v>
      </c>
      <c r="F51" s="11">
        <v>1550101.8000000003</v>
      </c>
      <c r="G51" s="10">
        <v>1584703.274</v>
      </c>
      <c r="H51" s="10">
        <v>1680466.452</v>
      </c>
      <c r="I51" s="10">
        <v>1825834.5060000001</v>
      </c>
      <c r="J51" s="10">
        <v>1800853.4553734858</v>
      </c>
      <c r="K51" s="10">
        <v>1864243.4970026324</v>
      </c>
      <c r="L51" s="10">
        <v>1929864.8680971251</v>
      </c>
    </row>
    <row r="52" spans="1:12" x14ac:dyDescent="0.25">
      <c r="A52" s="6" t="s">
        <v>96</v>
      </c>
      <c r="B52" s="6" t="s">
        <v>97</v>
      </c>
      <c r="C52" s="11">
        <v>518487.75</v>
      </c>
      <c r="D52" s="11">
        <v>559405.81000000006</v>
      </c>
      <c r="E52" s="11">
        <v>636733.01</v>
      </c>
      <c r="F52" s="11">
        <v>743017.83</v>
      </c>
      <c r="G52" s="10">
        <v>760848.39500000002</v>
      </c>
      <c r="H52" s="10">
        <v>803942.56499999994</v>
      </c>
      <c r="I52" s="10">
        <v>871222.64199999988</v>
      </c>
      <c r="J52" s="10">
        <v>861536.23857173754</v>
      </c>
      <c r="K52" s="10">
        <v>891862.31416946254</v>
      </c>
      <c r="L52" s="10">
        <v>923255.86762822745</v>
      </c>
    </row>
    <row r="53" spans="1:12" x14ac:dyDescent="0.25">
      <c r="A53" s="6" t="s">
        <v>98</v>
      </c>
      <c r="B53" s="6" t="s">
        <v>99</v>
      </c>
      <c r="C53" s="11">
        <v>827781</v>
      </c>
      <c r="D53" s="11">
        <v>891790</v>
      </c>
      <c r="E53" s="11">
        <v>997935</v>
      </c>
      <c r="F53" s="11">
        <v>1123379</v>
      </c>
      <c r="G53" s="10">
        <v>1142939.8330000001</v>
      </c>
      <c r="H53" s="10">
        <v>1208771.699</v>
      </c>
      <c r="I53" s="10">
        <v>1297116.2480000001</v>
      </c>
      <c r="J53" s="10">
        <v>1295366.9430955288</v>
      </c>
      <c r="K53" s="10">
        <v>1340963.8594924912</v>
      </c>
      <c r="L53" s="10">
        <v>1388165.7873466269</v>
      </c>
    </row>
    <row r="54" spans="1:12" x14ac:dyDescent="0.25">
      <c r="A54" s="6" t="s">
        <v>100</v>
      </c>
      <c r="B54" s="6" t="s">
        <v>101</v>
      </c>
      <c r="C54" s="11">
        <v>852668</v>
      </c>
      <c r="D54" s="11">
        <v>903816</v>
      </c>
      <c r="E54" s="11">
        <v>993412.13</v>
      </c>
      <c r="F54" s="11">
        <v>1151307.9800000002</v>
      </c>
      <c r="G54" s="10">
        <v>1324634.74</v>
      </c>
      <c r="H54" s="10">
        <v>1400236.6529999999</v>
      </c>
      <c r="I54" s="10">
        <v>1515368.4249999998</v>
      </c>
      <c r="J54" s="10">
        <v>1500548.2625937329</v>
      </c>
      <c r="K54" s="10">
        <v>1553367.5614370322</v>
      </c>
      <c r="L54" s="10">
        <v>1608046.0995996154</v>
      </c>
    </row>
    <row r="55" spans="1:12" x14ac:dyDescent="0.25">
      <c r="A55" s="6" t="s">
        <v>102</v>
      </c>
      <c r="B55" s="6" t="s">
        <v>103</v>
      </c>
      <c r="C55" s="11">
        <v>701279.6</v>
      </c>
      <c r="D55" s="11">
        <v>749109.3</v>
      </c>
      <c r="E55" s="11">
        <v>861963.6</v>
      </c>
      <c r="F55" s="11">
        <v>1005516.7999999999</v>
      </c>
      <c r="G55" s="10">
        <v>1020381.07</v>
      </c>
      <c r="H55" s="10">
        <v>1082955.2390000001</v>
      </c>
      <c r="I55" s="10">
        <v>1172573.9080000001</v>
      </c>
      <c r="J55" s="10">
        <v>1160537.1126849307</v>
      </c>
      <c r="K55" s="10">
        <v>1201388.0190514398</v>
      </c>
      <c r="L55" s="10">
        <v>1243676.8773220503</v>
      </c>
    </row>
    <row r="56" spans="1:12" x14ac:dyDescent="0.25">
      <c r="A56" s="6" t="s">
        <v>104</v>
      </c>
      <c r="B56" s="6" t="s">
        <v>105</v>
      </c>
      <c r="C56" s="11">
        <v>2139835.63</v>
      </c>
      <c r="D56" s="11">
        <v>2229054.36</v>
      </c>
      <c r="E56" s="11">
        <v>2515099.31</v>
      </c>
      <c r="F56" s="11">
        <v>2922075.3799999994</v>
      </c>
      <c r="G56" s="10">
        <v>3157293.5780000002</v>
      </c>
      <c r="H56" s="10">
        <v>3365256.5210000002</v>
      </c>
      <c r="I56" s="10">
        <v>3611409.9069999997</v>
      </c>
      <c r="J56" s="10">
        <v>3606340.2675181795</v>
      </c>
      <c r="K56" s="10">
        <v>3733283.4449348198</v>
      </c>
      <c r="L56" s="10">
        <v>3864695.0221965243</v>
      </c>
    </row>
    <row r="57" spans="1:12" x14ac:dyDescent="0.25">
      <c r="A57" s="6" t="s">
        <v>106</v>
      </c>
      <c r="B57" s="6" t="s">
        <v>107</v>
      </c>
      <c r="C57" s="11">
        <v>1320872</v>
      </c>
      <c r="D57" s="11">
        <v>1393226</v>
      </c>
      <c r="E57" s="11">
        <v>1560789</v>
      </c>
      <c r="F57" s="11">
        <v>1718651</v>
      </c>
      <c r="G57" s="10">
        <v>1758181.915</v>
      </c>
      <c r="H57" s="10">
        <v>1860723.3770000001</v>
      </c>
      <c r="I57" s="10">
        <v>2040050.5290000001</v>
      </c>
      <c r="J57" s="10">
        <v>1994023.8134338376</v>
      </c>
      <c r="K57" s="10">
        <v>2064213.451666709</v>
      </c>
      <c r="L57" s="10">
        <v>2136873.7651653769</v>
      </c>
    </row>
    <row r="58" spans="1:12" x14ac:dyDescent="0.25">
      <c r="A58" s="6" t="s">
        <v>108</v>
      </c>
      <c r="B58" s="6" t="s">
        <v>109</v>
      </c>
      <c r="C58" s="11">
        <v>2566430.7999999998</v>
      </c>
      <c r="D58" s="11">
        <v>2639380</v>
      </c>
      <c r="E58" s="11">
        <v>3291613.4</v>
      </c>
      <c r="F58" s="11">
        <v>3320603.3400000003</v>
      </c>
      <c r="G58" s="10">
        <v>3459968.8259999999</v>
      </c>
      <c r="H58" s="10">
        <v>3656942.497</v>
      </c>
      <c r="I58" s="10">
        <v>3840159.273</v>
      </c>
      <c r="J58" s="10">
        <v>3918922.3468202818</v>
      </c>
      <c r="K58" s="10">
        <v>4056868.413428355</v>
      </c>
      <c r="L58" s="10">
        <v>4199670.1815810334</v>
      </c>
    </row>
    <row r="59" spans="1:12" x14ac:dyDescent="0.25">
      <c r="A59" s="6" t="s">
        <v>110</v>
      </c>
      <c r="B59" s="6" t="s">
        <v>111</v>
      </c>
      <c r="C59" s="11">
        <v>1167313.93</v>
      </c>
      <c r="D59" s="11">
        <v>1238904.46</v>
      </c>
      <c r="E59" s="11">
        <v>1415937.31</v>
      </c>
      <c r="F59" s="11">
        <v>1502390.4800000002</v>
      </c>
      <c r="G59" s="10">
        <v>1537326.1640000001</v>
      </c>
      <c r="H59" s="10">
        <v>1624039.385</v>
      </c>
      <c r="I59" s="10">
        <v>1748897.6809999999</v>
      </c>
      <c r="J59" s="10">
        <v>1740384.0074635902</v>
      </c>
      <c r="K59" s="10">
        <v>1801645.5245263083</v>
      </c>
      <c r="L59" s="10">
        <v>1865063.4469896345</v>
      </c>
    </row>
    <row r="60" spans="1:12" x14ac:dyDescent="0.25">
      <c r="A60" s="6" t="s">
        <v>112</v>
      </c>
      <c r="B60" s="6" t="s">
        <v>113</v>
      </c>
      <c r="C60" s="11">
        <v>1657896.2</v>
      </c>
      <c r="D60" s="11">
        <v>1683325</v>
      </c>
      <c r="E60" s="11">
        <v>1882372.12</v>
      </c>
      <c r="F60" s="11">
        <v>2199085.5099999993</v>
      </c>
      <c r="G60" s="10">
        <v>2296762.4789999998</v>
      </c>
      <c r="H60" s="10">
        <v>2450397.3840000001</v>
      </c>
      <c r="I60" s="10">
        <v>2634186.9880000004</v>
      </c>
      <c r="J60" s="10">
        <v>2625941.5002082712</v>
      </c>
      <c r="K60" s="10">
        <v>2718374.6410156018</v>
      </c>
      <c r="L60" s="10">
        <v>2814061.4283793503</v>
      </c>
    </row>
    <row r="61" spans="1:12" x14ac:dyDescent="0.25">
      <c r="A61" s="6" t="s">
        <v>114</v>
      </c>
      <c r="B61" s="6" t="s">
        <v>115</v>
      </c>
      <c r="C61" s="11">
        <v>2881408.92</v>
      </c>
      <c r="D61" s="11">
        <v>2678987.7799999998</v>
      </c>
      <c r="E61" s="11">
        <v>2852238.93</v>
      </c>
      <c r="F61" s="11">
        <v>2901087.57</v>
      </c>
      <c r="G61" s="10">
        <v>3160467.1189999999</v>
      </c>
      <c r="H61" s="10">
        <v>3344702.8640000001</v>
      </c>
      <c r="I61" s="10">
        <v>3675406.69</v>
      </c>
      <c r="J61" s="10">
        <v>3584314.1662622094</v>
      </c>
      <c r="K61" s="10">
        <v>3710482.0249146386</v>
      </c>
      <c r="L61" s="10">
        <v>3841090.9921916337</v>
      </c>
    </row>
    <row r="62" spans="1:12" x14ac:dyDescent="0.25">
      <c r="A62" s="6" t="s">
        <v>116</v>
      </c>
      <c r="B62" s="6" t="s">
        <v>117</v>
      </c>
      <c r="C62" s="11">
        <v>1537003</v>
      </c>
      <c r="D62" s="11">
        <v>1739195</v>
      </c>
      <c r="E62" s="11">
        <v>1891977</v>
      </c>
      <c r="F62" s="11">
        <v>2069818</v>
      </c>
      <c r="G62" s="10">
        <v>2269445.6260000002</v>
      </c>
      <c r="H62" s="10">
        <v>2408596.452</v>
      </c>
      <c r="I62" s="10">
        <v>2585079.3629999999</v>
      </c>
      <c r="J62" s="10">
        <v>2581145.9895686856</v>
      </c>
      <c r="K62" s="10">
        <v>2672002.3284015027</v>
      </c>
      <c r="L62" s="10">
        <v>2766056.8103612354</v>
      </c>
    </row>
    <row r="63" spans="1:12" x14ac:dyDescent="0.25">
      <c r="A63" s="6" t="s">
        <v>118</v>
      </c>
      <c r="B63" s="6" t="s">
        <v>119</v>
      </c>
      <c r="C63" s="11">
        <v>3053662.82</v>
      </c>
      <c r="D63" s="11">
        <v>3020408.54</v>
      </c>
      <c r="E63" s="11">
        <v>3280654.26</v>
      </c>
      <c r="F63" s="11">
        <v>3536475.37</v>
      </c>
      <c r="G63" s="10">
        <v>3627612.8489999999</v>
      </c>
      <c r="H63" s="10">
        <v>3849429.5950000002</v>
      </c>
      <c r="I63" s="10">
        <v>4121004.3120000004</v>
      </c>
      <c r="J63" s="10">
        <v>4125199.0357333873</v>
      </c>
      <c r="K63" s="10">
        <v>4270406.0417912025</v>
      </c>
      <c r="L63" s="10">
        <v>4420724.3344622524</v>
      </c>
    </row>
    <row r="64" spans="1:12" x14ac:dyDescent="0.25">
      <c r="A64" s="6" t="s">
        <v>120</v>
      </c>
      <c r="B64" s="6" t="s">
        <v>121</v>
      </c>
      <c r="C64" s="11">
        <v>5555300.0199999996</v>
      </c>
      <c r="D64" s="11">
        <v>6021114.0300000003</v>
      </c>
      <c r="E64" s="11">
        <v>6743472.5</v>
      </c>
      <c r="F64" s="11">
        <v>7385070.2899999991</v>
      </c>
      <c r="G64" s="10">
        <v>7569979.068</v>
      </c>
      <c r="H64" s="10">
        <v>8014954.1540000001</v>
      </c>
      <c r="I64" s="10">
        <v>8556576.6380000003</v>
      </c>
      <c r="J64" s="10">
        <v>8589137.7752365731</v>
      </c>
      <c r="K64" s="10">
        <v>8891475.4249248989</v>
      </c>
      <c r="L64" s="10">
        <v>9204455.3598822542</v>
      </c>
    </row>
    <row r="65" spans="1:12" x14ac:dyDescent="0.25">
      <c r="A65" s="6" t="s">
        <v>122</v>
      </c>
      <c r="B65" s="6" t="s">
        <v>123</v>
      </c>
      <c r="C65" s="11">
        <v>2693258.8</v>
      </c>
      <c r="D65" s="11">
        <v>1694234</v>
      </c>
      <c r="E65" s="11">
        <v>1944256.18</v>
      </c>
      <c r="F65" s="11">
        <v>2137361</v>
      </c>
      <c r="G65" s="10">
        <v>2427339.2250000001</v>
      </c>
      <c r="H65" s="10">
        <v>2583164.7990000001</v>
      </c>
      <c r="I65" s="10">
        <v>2778369.0409999997</v>
      </c>
      <c r="J65" s="10">
        <v>2768220.2453621523</v>
      </c>
      <c r="K65" s="10">
        <v>2865661.5979989003</v>
      </c>
      <c r="L65" s="10">
        <v>2966532.886248461</v>
      </c>
    </row>
    <row r="66" spans="1:12" x14ac:dyDescent="0.25">
      <c r="A66" s="6" t="s">
        <v>124</v>
      </c>
      <c r="B66" s="6" t="s">
        <v>125</v>
      </c>
      <c r="C66" s="11">
        <v>840214</v>
      </c>
      <c r="D66" s="11">
        <v>830360.14</v>
      </c>
      <c r="E66" s="11">
        <v>848019.4</v>
      </c>
      <c r="F66" s="11">
        <v>1101143.3999999999</v>
      </c>
      <c r="G66" s="10">
        <v>1229159.0109999999</v>
      </c>
      <c r="H66" s="10">
        <v>1304957.709</v>
      </c>
      <c r="I66" s="10">
        <v>1413300.692</v>
      </c>
      <c r="J66" s="10">
        <v>1398443.6265133591</v>
      </c>
      <c r="K66" s="10">
        <v>1447668.8421666292</v>
      </c>
      <c r="L66" s="10">
        <v>1498626.7854108943</v>
      </c>
    </row>
    <row r="67" spans="1:12" x14ac:dyDescent="0.25">
      <c r="A67" s="6" t="s">
        <v>126</v>
      </c>
      <c r="B67" s="6" t="s">
        <v>127</v>
      </c>
      <c r="C67" s="11">
        <v>719653</v>
      </c>
      <c r="D67" s="11">
        <v>835261.1</v>
      </c>
      <c r="E67" s="11">
        <v>982759.2</v>
      </c>
      <c r="F67" s="11">
        <v>1133854.1299999999</v>
      </c>
      <c r="G67" s="10">
        <v>1163446.5460000001</v>
      </c>
      <c r="H67" s="10">
        <v>1238162.5</v>
      </c>
      <c r="I67" s="10">
        <v>1346661.007</v>
      </c>
      <c r="J67" s="10">
        <v>1326863.2728639999</v>
      </c>
      <c r="K67" s="10">
        <v>1373568.8600688123</v>
      </c>
      <c r="L67" s="10">
        <v>1421918.4839432344</v>
      </c>
    </row>
    <row r="68" spans="1:12" x14ac:dyDescent="0.25">
      <c r="A68" s="6" t="s">
        <v>128</v>
      </c>
      <c r="B68" s="6" t="s">
        <v>129</v>
      </c>
      <c r="C68" s="11">
        <v>1419022.88</v>
      </c>
      <c r="D68" s="11">
        <v>1513485.67</v>
      </c>
      <c r="E68" s="11">
        <v>1633189.29</v>
      </c>
      <c r="F68" s="11">
        <v>1972281.5</v>
      </c>
      <c r="G68" s="10">
        <v>1991010.89</v>
      </c>
      <c r="H68" s="10">
        <v>2104363.75</v>
      </c>
      <c r="I68" s="10">
        <v>2288429.3540000003</v>
      </c>
      <c r="J68" s="10">
        <v>2255118.3488607998</v>
      </c>
      <c r="K68" s="10">
        <v>2334498.5147406994</v>
      </c>
      <c r="L68" s="10">
        <v>2416672.862459572</v>
      </c>
    </row>
    <row r="69" spans="1:12" x14ac:dyDescent="0.25">
      <c r="A69" s="6" t="s">
        <v>130</v>
      </c>
      <c r="B69" s="6" t="s">
        <v>131</v>
      </c>
      <c r="C69" s="11">
        <v>2040057.12</v>
      </c>
      <c r="D69" s="11">
        <v>2186736.14</v>
      </c>
      <c r="E69" s="11">
        <v>2374965.4</v>
      </c>
      <c r="F69" s="11">
        <v>2695091.55</v>
      </c>
      <c r="G69" s="10">
        <v>2746082.7969999998</v>
      </c>
      <c r="H69" s="10">
        <v>2926918.236</v>
      </c>
      <c r="I69" s="10">
        <v>3229261.2050000005</v>
      </c>
      <c r="J69" s="10">
        <v>3136599.8485855325</v>
      </c>
      <c r="K69" s="10">
        <v>3247008.1632557432</v>
      </c>
      <c r="L69" s="10">
        <v>3361302.8506023455</v>
      </c>
    </row>
    <row r="70" spans="1:12" x14ac:dyDescent="0.25">
      <c r="A70" s="6" t="s">
        <v>132</v>
      </c>
      <c r="B70" s="6" t="s">
        <v>133</v>
      </c>
      <c r="C70" s="11">
        <v>1646588</v>
      </c>
      <c r="D70" s="11">
        <v>1707395</v>
      </c>
      <c r="E70" s="11">
        <v>1996839</v>
      </c>
      <c r="F70" s="11">
        <v>2053326.55</v>
      </c>
      <c r="G70" s="10">
        <v>2594182.2429999998</v>
      </c>
      <c r="H70" s="10">
        <v>2772584.8939999999</v>
      </c>
      <c r="I70" s="10">
        <v>2998036.9940000004</v>
      </c>
      <c r="J70" s="10">
        <v>2971210.2141246609</v>
      </c>
      <c r="K70" s="10">
        <v>3075796.8136618491</v>
      </c>
      <c r="L70" s="10">
        <v>3184064.8615027457</v>
      </c>
    </row>
    <row r="71" spans="1:12" x14ac:dyDescent="0.25">
      <c r="A71" s="6" t="s">
        <v>134</v>
      </c>
      <c r="B71" s="6" t="s">
        <v>135</v>
      </c>
      <c r="C71" s="11">
        <v>973907.9</v>
      </c>
      <c r="D71" s="11">
        <v>1034987.45</v>
      </c>
      <c r="E71" s="11">
        <v>1152338.21</v>
      </c>
      <c r="F71" s="11">
        <v>1310741.6899999997</v>
      </c>
      <c r="G71" s="10">
        <v>1342348.2439999999</v>
      </c>
      <c r="H71" s="10">
        <v>1423404.8589999999</v>
      </c>
      <c r="I71" s="10">
        <v>1539772.5630000001</v>
      </c>
      <c r="J71" s="10">
        <v>1525376.2166300952</v>
      </c>
      <c r="K71" s="10">
        <v>1579069.4594554743</v>
      </c>
      <c r="L71" s="10">
        <v>1634652.704428307</v>
      </c>
    </row>
    <row r="72" spans="1:12" x14ac:dyDescent="0.25">
      <c r="A72" s="6" t="s">
        <v>136</v>
      </c>
      <c r="B72" s="6" t="s">
        <v>137</v>
      </c>
      <c r="C72" s="11">
        <v>850133.13</v>
      </c>
      <c r="D72" s="11">
        <v>897921.8</v>
      </c>
      <c r="E72" s="11">
        <v>992330.85</v>
      </c>
      <c r="F72" s="11">
        <v>1106830.6500000001</v>
      </c>
      <c r="G72" s="10">
        <v>1154756.426</v>
      </c>
      <c r="H72" s="10">
        <v>1222356.591</v>
      </c>
      <c r="I72" s="10">
        <v>1307265.0829999999</v>
      </c>
      <c r="J72" s="10">
        <v>1309925.0437169122</v>
      </c>
      <c r="K72" s="10">
        <v>1356034.4052557473</v>
      </c>
      <c r="L72" s="10">
        <v>1403766.8163207497</v>
      </c>
    </row>
    <row r="73" spans="1:12" x14ac:dyDescent="0.25">
      <c r="A73" s="6" t="s">
        <v>138</v>
      </c>
      <c r="B73" s="6" t="s">
        <v>139</v>
      </c>
      <c r="C73" s="11">
        <v>1053704.3700000001</v>
      </c>
      <c r="D73" s="11">
        <v>1139802.2</v>
      </c>
      <c r="E73" s="11">
        <v>1412898.98</v>
      </c>
      <c r="F73" s="11">
        <v>1398089.9600000002</v>
      </c>
      <c r="G73" s="10">
        <v>1474501.2649999999</v>
      </c>
      <c r="H73" s="10">
        <v>1561482.111</v>
      </c>
      <c r="I73" s="10">
        <v>1679687.959</v>
      </c>
      <c r="J73" s="10">
        <v>1673345.1904092131</v>
      </c>
      <c r="K73" s="10">
        <v>1732246.9411116173</v>
      </c>
      <c r="L73" s="10">
        <v>1793222.0334387461</v>
      </c>
    </row>
    <row r="74" spans="1:12" x14ac:dyDescent="0.25">
      <c r="A74" s="6" t="s">
        <v>140</v>
      </c>
      <c r="B74" s="6" t="s">
        <v>141</v>
      </c>
      <c r="C74" s="11">
        <v>1377070.61</v>
      </c>
      <c r="D74" s="11">
        <v>1546493.6</v>
      </c>
      <c r="E74" s="11">
        <v>1725624.55</v>
      </c>
      <c r="F74" s="11">
        <v>1885940.1600000001</v>
      </c>
      <c r="G74" s="10">
        <v>1939628.83</v>
      </c>
      <c r="H74" s="10">
        <v>2061188.4580000001</v>
      </c>
      <c r="I74" s="10">
        <v>2228601.9960000003</v>
      </c>
      <c r="J74" s="10">
        <v>2208850.0203902</v>
      </c>
      <c r="K74" s="10">
        <v>2286601.5411079344</v>
      </c>
      <c r="L74" s="10">
        <v>2367089.9153549336</v>
      </c>
    </row>
    <row r="75" spans="1:12" x14ac:dyDescent="0.25">
      <c r="A75" s="6" t="s">
        <v>142</v>
      </c>
      <c r="B75" s="6" t="s">
        <v>143</v>
      </c>
      <c r="C75" s="11">
        <v>1339722.1200000001</v>
      </c>
      <c r="D75" s="11">
        <v>1416962.96</v>
      </c>
      <c r="E75" s="11">
        <v>1672918.51</v>
      </c>
      <c r="F75" s="11">
        <v>1773470.65</v>
      </c>
      <c r="G75" s="10">
        <v>1743600.4110000001</v>
      </c>
      <c r="H75" s="10">
        <v>1843757.8319999999</v>
      </c>
      <c r="I75" s="10">
        <v>1989850.6310000001</v>
      </c>
      <c r="J75" s="10">
        <v>1975842.8730769611</v>
      </c>
      <c r="K75" s="10">
        <v>2045392.5422092699</v>
      </c>
      <c r="L75" s="10">
        <v>2117390.359695036</v>
      </c>
    </row>
    <row r="76" spans="1:12" x14ac:dyDescent="0.25">
      <c r="A76" s="6" t="s">
        <v>144</v>
      </c>
      <c r="B76" s="6" t="s">
        <v>145</v>
      </c>
      <c r="C76" s="11">
        <v>1180756.71</v>
      </c>
      <c r="D76" s="11">
        <v>1339002.8899999999</v>
      </c>
      <c r="E76" s="11">
        <v>1676829.41</v>
      </c>
      <c r="F76" s="11">
        <v>1803246.07</v>
      </c>
      <c r="G76" s="10">
        <v>1899181.159</v>
      </c>
      <c r="H76" s="10">
        <v>2026768.0619999999</v>
      </c>
      <c r="I76" s="10">
        <v>2169797.4439999997</v>
      </c>
      <c r="J76" s="10">
        <v>2171963.7802643399</v>
      </c>
      <c r="K76" s="10">
        <v>2248416.9053296451</v>
      </c>
      <c r="L76" s="10">
        <v>2327561.1803972479</v>
      </c>
    </row>
    <row r="77" spans="1:12" x14ac:dyDescent="0.25">
      <c r="A77" s="6" t="s">
        <v>146</v>
      </c>
      <c r="B77" s="6" t="s">
        <v>147</v>
      </c>
      <c r="C77" s="11">
        <v>1706745</v>
      </c>
      <c r="D77" s="11">
        <v>1800122</v>
      </c>
      <c r="E77" s="11">
        <v>2002896</v>
      </c>
      <c r="F77" s="11">
        <v>2165126</v>
      </c>
      <c r="G77" s="10">
        <v>2223566.7259999998</v>
      </c>
      <c r="H77" s="10">
        <v>2352278.159</v>
      </c>
      <c r="I77" s="10">
        <v>2530332.1490000007</v>
      </c>
      <c r="J77" s="10">
        <v>2520793.1081237267</v>
      </c>
      <c r="K77" s="10">
        <v>2609525.0255296822</v>
      </c>
      <c r="L77" s="10">
        <v>2701380.3064283268</v>
      </c>
    </row>
    <row r="78" spans="1:12" x14ac:dyDescent="0.25">
      <c r="A78" s="6" t="s">
        <v>148</v>
      </c>
      <c r="B78" s="6" t="s">
        <v>149</v>
      </c>
      <c r="C78" s="11">
        <v>686176.95</v>
      </c>
      <c r="D78" s="11">
        <v>725808</v>
      </c>
      <c r="E78" s="11">
        <v>903307</v>
      </c>
      <c r="F78" s="11">
        <v>976255</v>
      </c>
      <c r="G78" s="10">
        <v>1057000.3959999999</v>
      </c>
      <c r="H78" s="10">
        <v>1126798.0900000001</v>
      </c>
      <c r="I78" s="10">
        <v>1250161.4450000001</v>
      </c>
      <c r="J78" s="10">
        <v>1207520.8234414335</v>
      </c>
      <c r="K78" s="10">
        <v>1250025.5564265719</v>
      </c>
      <c r="L78" s="10">
        <v>1294026.4560127866</v>
      </c>
    </row>
    <row r="79" spans="1:12" x14ac:dyDescent="0.25">
      <c r="A79" s="6" t="s">
        <v>150</v>
      </c>
      <c r="B79" s="6" t="s">
        <v>151</v>
      </c>
      <c r="C79" s="11">
        <v>3134641.76</v>
      </c>
      <c r="D79" s="11">
        <v>3199035.68</v>
      </c>
      <c r="E79" s="11">
        <v>3447953.38</v>
      </c>
      <c r="F79" s="11">
        <v>4135615.88</v>
      </c>
      <c r="G79" s="10">
        <v>4185221.8450000002</v>
      </c>
      <c r="H79" s="10">
        <v>4472986.3449999997</v>
      </c>
      <c r="I79" s="10">
        <v>4937126.3090000004</v>
      </c>
      <c r="J79" s="10">
        <v>4793426.7926889081</v>
      </c>
      <c r="K79" s="10">
        <v>4962155.4157915572</v>
      </c>
      <c r="L79" s="10">
        <v>5136823.2864274196</v>
      </c>
    </row>
    <row r="80" spans="1:12" x14ac:dyDescent="0.25">
      <c r="A80" s="6" t="s">
        <v>152</v>
      </c>
      <c r="B80" s="6" t="s">
        <v>153</v>
      </c>
      <c r="C80" s="11">
        <v>1141541.44</v>
      </c>
      <c r="D80" s="11">
        <v>1177171.04</v>
      </c>
      <c r="E80" s="11">
        <v>1222737.6100000001</v>
      </c>
      <c r="F80" s="11">
        <v>1499832.25</v>
      </c>
      <c r="G80" s="10">
        <v>1375377.1640000001</v>
      </c>
      <c r="H80" s="10">
        <v>1453399.3119999999</v>
      </c>
      <c r="I80" s="10">
        <v>1574468.4429999997</v>
      </c>
      <c r="J80" s="10">
        <v>1557519.4434483403</v>
      </c>
      <c r="K80" s="10">
        <v>1612344.1278577216</v>
      </c>
      <c r="L80" s="10">
        <v>1669098.6411583133</v>
      </c>
    </row>
    <row r="81" spans="1:13" x14ac:dyDescent="0.25">
      <c r="A81" s="6" t="s">
        <v>154</v>
      </c>
      <c r="B81" s="6" t="s">
        <v>155</v>
      </c>
      <c r="C81" s="11">
        <v>1010665.14</v>
      </c>
      <c r="D81" s="11">
        <v>1068897.6399999999</v>
      </c>
      <c r="E81" s="11">
        <v>1246253.6299999999</v>
      </c>
      <c r="F81" s="11">
        <v>1408631.1099999999</v>
      </c>
      <c r="G81" s="10">
        <v>1475791.781</v>
      </c>
      <c r="H81" s="10">
        <v>1568687.327</v>
      </c>
      <c r="I81" s="10">
        <v>1729503.9929999998</v>
      </c>
      <c r="J81" s="10">
        <v>1681066.5811664457</v>
      </c>
      <c r="K81" s="10">
        <v>1740240.1248235044</v>
      </c>
      <c r="L81" s="10">
        <v>1801496.5772172918</v>
      </c>
    </row>
    <row r="82" spans="1:13" s="2" customFormat="1" ht="17.25" x14ac:dyDescent="0.3">
      <c r="A82" s="9"/>
      <c r="B82" s="92" t="s">
        <v>156</v>
      </c>
      <c r="C82" s="93">
        <f>SUM(C50:C81)</f>
        <v>50416626.569999993</v>
      </c>
      <c r="D82" s="93">
        <f>SUM(D50:D81)</f>
        <v>51890067.270000011</v>
      </c>
      <c r="E82" s="93">
        <f>SUM(E50:E81)</f>
        <v>58475705.159999996</v>
      </c>
      <c r="F82" s="93">
        <f>SUM(F50:F81)</f>
        <v>64793133.659999989</v>
      </c>
      <c r="G82" s="93">
        <v>67871103.191</v>
      </c>
      <c r="H82" s="93">
        <v>72045188.147</v>
      </c>
      <c r="I82" s="93">
        <f>SUM(I50:I81)</f>
        <v>77845081.243000001</v>
      </c>
      <c r="J82" s="93">
        <f>+I82*1.0352</f>
        <v>80585228.102753595</v>
      </c>
      <c r="K82" s="93">
        <f>+J82*1.0352</f>
        <v>83421828.13197051</v>
      </c>
      <c r="L82" s="93">
        <f>+K82*1.0352</f>
        <v>86358276.482215866</v>
      </c>
    </row>
    <row r="83" spans="1:13" s="2" customFormat="1" ht="63" customHeight="1" x14ac:dyDescent="0.3">
      <c r="C83" s="233" t="s">
        <v>273</v>
      </c>
      <c r="D83" s="233"/>
      <c r="E83" s="233"/>
      <c r="F83" s="233"/>
      <c r="G83" s="2" t="s">
        <v>261</v>
      </c>
      <c r="H83" s="2" t="s">
        <v>261</v>
      </c>
      <c r="I83" s="2" t="s">
        <v>261</v>
      </c>
      <c r="J83" s="113" t="s">
        <v>272</v>
      </c>
      <c r="K83" s="113"/>
      <c r="L83" s="113"/>
      <c r="M83" s="132" t="s">
        <v>276</v>
      </c>
    </row>
    <row r="84" spans="1:13" s="2" customFormat="1" ht="16.5" x14ac:dyDescent="0.3">
      <c r="C84" s="7"/>
      <c r="D84" s="7"/>
      <c r="E84" s="7"/>
      <c r="F84" s="7"/>
    </row>
    <row r="85" spans="1:13" ht="17.25" x14ac:dyDescent="0.3">
      <c r="A85" s="8" t="s">
        <v>233</v>
      </c>
    </row>
    <row r="86" spans="1:13" ht="17.25" x14ac:dyDescent="0.3">
      <c r="A86" s="8"/>
    </row>
    <row r="87" spans="1:13" x14ac:dyDescent="0.25">
      <c r="A87" s="271" t="s">
        <v>199</v>
      </c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</row>
    <row r="88" spans="1:13" ht="17.25" x14ac:dyDescent="0.3">
      <c r="A88" s="8"/>
    </row>
    <row r="89" spans="1:13" ht="33" customHeight="1" x14ac:dyDescent="0.25">
      <c r="A89" s="229" t="s">
        <v>192</v>
      </c>
      <c r="B89" s="229"/>
      <c r="C89" s="232" t="s">
        <v>157</v>
      </c>
      <c r="D89" s="232"/>
      <c r="E89" s="232"/>
      <c r="F89" s="232"/>
      <c r="G89" s="232" t="s">
        <v>158</v>
      </c>
      <c r="H89" s="232"/>
      <c r="I89" s="232"/>
      <c r="J89" s="232"/>
      <c r="K89" s="232"/>
      <c r="L89" s="232"/>
    </row>
    <row r="90" spans="1:13" ht="27" customHeight="1" x14ac:dyDescent="0.25">
      <c r="A90" s="229"/>
      <c r="B90" s="229"/>
      <c r="C90" s="111">
        <v>2009</v>
      </c>
      <c r="D90" s="89">
        <v>2010</v>
      </c>
      <c r="E90" s="89">
        <v>2011</v>
      </c>
      <c r="F90" s="89">
        <v>2012</v>
      </c>
      <c r="G90" s="89">
        <v>2013</v>
      </c>
      <c r="H90" s="89">
        <v>2014</v>
      </c>
      <c r="I90" s="89">
        <v>2015</v>
      </c>
      <c r="J90" s="89">
        <v>2016</v>
      </c>
      <c r="K90" s="89">
        <v>2017</v>
      </c>
      <c r="L90" s="89">
        <v>2018</v>
      </c>
    </row>
    <row r="91" spans="1:13" x14ac:dyDescent="0.25">
      <c r="A91" s="6" t="s">
        <v>92</v>
      </c>
      <c r="B91" s="6" t="s">
        <v>93</v>
      </c>
      <c r="C91" s="5">
        <f t="shared" ref="C91:F110" si="1">C9/C50*100</f>
        <v>16.501148526154463</v>
      </c>
      <c r="D91" s="5">
        <f t="shared" si="1"/>
        <v>14.813173733952345</v>
      </c>
      <c r="E91" s="5">
        <f t="shared" si="1"/>
        <v>14.033392543130981</v>
      </c>
      <c r="F91" s="5">
        <f t="shared" si="1"/>
        <v>2.252316966222454</v>
      </c>
      <c r="G91" s="35">
        <f t="shared" ref="G91:L91" si="2">F91+3.791280507</f>
        <v>6.0435974732224542</v>
      </c>
      <c r="H91" s="35">
        <f>G91+3.791280507</f>
        <v>9.8348779802224549</v>
      </c>
      <c r="I91" s="35">
        <f>H91+3.791280507</f>
        <v>13.626158487222455</v>
      </c>
      <c r="J91" s="35">
        <f t="shared" si="2"/>
        <v>17.417438994222454</v>
      </c>
      <c r="K91" s="35">
        <f t="shared" si="2"/>
        <v>21.208719501222454</v>
      </c>
      <c r="L91" s="35">
        <f t="shared" si="2"/>
        <v>25.000000008222454</v>
      </c>
    </row>
    <row r="92" spans="1:13" x14ac:dyDescent="0.25">
      <c r="A92" s="6" t="s">
        <v>94</v>
      </c>
      <c r="B92" s="6" t="s">
        <v>95</v>
      </c>
      <c r="C92" s="5">
        <f t="shared" si="1"/>
        <v>3.456728784959731</v>
      </c>
      <c r="D92" s="5">
        <f t="shared" si="1"/>
        <v>3.4507995306838319</v>
      </c>
      <c r="E92" s="5">
        <f t="shared" si="1"/>
        <v>34.416555345133894</v>
      </c>
      <c r="F92" s="5">
        <f t="shared" si="1"/>
        <v>86.045399727940449</v>
      </c>
      <c r="G92" s="35">
        <f t="shared" ref="G92:L92" si="3">F92-10.17423329</f>
        <v>75.871166437940445</v>
      </c>
      <c r="H92" s="35">
        <f>G92-10.17423329</f>
        <v>65.696933147940442</v>
      </c>
      <c r="I92" s="35">
        <f>H92-10.17423329</f>
        <v>55.522699857940438</v>
      </c>
      <c r="J92" s="35">
        <f t="shared" si="3"/>
        <v>45.348466567940434</v>
      </c>
      <c r="K92" s="35">
        <f t="shared" si="3"/>
        <v>35.174233277940431</v>
      </c>
      <c r="L92" s="35">
        <f t="shared" si="3"/>
        <v>24.999999987940431</v>
      </c>
    </row>
    <row r="93" spans="1:13" x14ac:dyDescent="0.25">
      <c r="A93" s="6" t="s">
        <v>96</v>
      </c>
      <c r="B93" s="6" t="s">
        <v>97</v>
      </c>
      <c r="C93" s="5">
        <f t="shared" si="1"/>
        <v>14.281052927479966</v>
      </c>
      <c r="D93" s="5">
        <f t="shared" si="1"/>
        <v>6.1925777996478075</v>
      </c>
      <c r="E93" s="5">
        <f t="shared" si="1"/>
        <v>23.249703985034483</v>
      </c>
      <c r="F93" s="5">
        <f t="shared" si="1"/>
        <v>21.841606681228633</v>
      </c>
      <c r="G93" s="35">
        <f t="shared" ref="G93:L93" si="4">F93+0.526398887</f>
        <v>22.368005568228632</v>
      </c>
      <c r="H93" s="35">
        <f>G93+0.526398887</f>
        <v>22.894404455228631</v>
      </c>
      <c r="I93" s="35">
        <f>H93+0.526398887</f>
        <v>23.420803342228631</v>
      </c>
      <c r="J93" s="35">
        <f t="shared" si="4"/>
        <v>23.94720222922863</v>
      </c>
      <c r="K93" s="35">
        <f t="shared" si="4"/>
        <v>24.473601116228629</v>
      </c>
      <c r="L93" s="35">
        <f t="shared" si="4"/>
        <v>25.000000003228628</v>
      </c>
    </row>
    <row r="94" spans="1:13" x14ac:dyDescent="0.25">
      <c r="A94" s="6" t="s">
        <v>98</v>
      </c>
      <c r="B94" s="6" t="s">
        <v>99</v>
      </c>
      <c r="C94" s="5">
        <f t="shared" si="1"/>
        <v>3.0585384298504072</v>
      </c>
      <c r="D94" s="5">
        <f t="shared" si="1"/>
        <v>10.473766245416522</v>
      </c>
      <c r="E94" s="5">
        <f t="shared" si="1"/>
        <v>10.2964621944315</v>
      </c>
      <c r="F94" s="5">
        <f t="shared" si="1"/>
        <v>11.824949549528698</v>
      </c>
      <c r="G94" s="35">
        <f t="shared" ref="G94:L94" si="5">F94+2.195841743</f>
        <v>14.020791292528699</v>
      </c>
      <c r="H94" s="35">
        <f>G94+2.195841743</f>
        <v>16.216633035528698</v>
      </c>
      <c r="I94" s="35">
        <f>H94+2.195841743</f>
        <v>18.412474778528697</v>
      </c>
      <c r="J94" s="35">
        <f t="shared" si="5"/>
        <v>20.608316521528696</v>
      </c>
      <c r="K94" s="35">
        <f t="shared" si="5"/>
        <v>22.804158264528695</v>
      </c>
      <c r="L94" s="35">
        <f t="shared" si="5"/>
        <v>25.000000007528694</v>
      </c>
    </row>
    <row r="95" spans="1:13" x14ac:dyDescent="0.25">
      <c r="A95" s="6" t="s">
        <v>100</v>
      </c>
      <c r="B95" s="6" t="s">
        <v>101</v>
      </c>
      <c r="C95" s="5">
        <f t="shared" si="1"/>
        <v>26.545384604558869</v>
      </c>
      <c r="D95" s="5">
        <f t="shared" si="1"/>
        <v>15.389304902767819</v>
      </c>
      <c r="E95" s="5">
        <f t="shared" si="1"/>
        <v>24.984849943396604</v>
      </c>
      <c r="F95" s="5">
        <f t="shared" si="1"/>
        <v>23.548925631523897</v>
      </c>
      <c r="G95" s="35">
        <f t="shared" ref="G95:L95" si="6">F95+0.241845729</f>
        <v>23.790771360523898</v>
      </c>
      <c r="H95" s="35">
        <f>G95+0.241845729</f>
        <v>24.0326170895239</v>
      </c>
      <c r="I95" s="35">
        <f>H95+0.241845729</f>
        <v>24.274462818523901</v>
      </c>
      <c r="J95" s="35">
        <f t="shared" si="6"/>
        <v>24.516308547523902</v>
      </c>
      <c r="K95" s="35">
        <f t="shared" si="6"/>
        <v>24.758154276523904</v>
      </c>
      <c r="L95" s="35">
        <f t="shared" si="6"/>
        <v>25.000000005523905</v>
      </c>
    </row>
    <row r="96" spans="1:13" x14ac:dyDescent="0.25">
      <c r="A96" s="6" t="s">
        <v>102</v>
      </c>
      <c r="B96" s="6" t="s">
        <v>103</v>
      </c>
      <c r="C96" s="5">
        <f t="shared" si="1"/>
        <v>2.1850343286757523</v>
      </c>
      <c r="D96" s="5">
        <f t="shared" si="1"/>
        <v>29.521112606665007</v>
      </c>
      <c r="E96" s="5">
        <f t="shared" si="1"/>
        <v>19.711586428939693</v>
      </c>
      <c r="F96" s="5">
        <f t="shared" si="1"/>
        <v>4.025024743495087</v>
      </c>
      <c r="G96" s="35">
        <f t="shared" ref="G96:L96" si="7">F96+3.49582921</f>
        <v>7.5208539534950871</v>
      </c>
      <c r="H96" s="35">
        <f>G96+3.49582921</f>
        <v>11.016683163495088</v>
      </c>
      <c r="I96" s="35">
        <f>H96+3.49582921</f>
        <v>14.512512373495088</v>
      </c>
      <c r="J96" s="35">
        <f t="shared" si="7"/>
        <v>18.008341583495088</v>
      </c>
      <c r="K96" s="35">
        <f t="shared" si="7"/>
        <v>21.504170793495089</v>
      </c>
      <c r="L96" s="35">
        <f t="shared" si="7"/>
        <v>25.000000003495089</v>
      </c>
    </row>
    <row r="97" spans="1:12" x14ac:dyDescent="0.25">
      <c r="A97" s="6" t="s">
        <v>104</v>
      </c>
      <c r="B97" s="6" t="s">
        <v>105</v>
      </c>
      <c r="C97" s="5">
        <f t="shared" si="1"/>
        <v>27.171059395809767</v>
      </c>
      <c r="D97" s="5">
        <f t="shared" si="1"/>
        <v>27.316027411731675</v>
      </c>
      <c r="E97" s="5">
        <f t="shared" si="1"/>
        <v>25.200400933671279</v>
      </c>
      <c r="F97" s="5">
        <f t="shared" si="1"/>
        <v>25.023196355735355</v>
      </c>
      <c r="G97" s="35">
        <f t="shared" ref="G97:L97" si="8">F97-0.003866058</f>
        <v>25.019330297735355</v>
      </c>
      <c r="H97" s="35">
        <f>G97-0.003866058</f>
        <v>25.015464239735355</v>
      </c>
      <c r="I97" s="35">
        <f>H97-0.003866058</f>
        <v>25.011598181735355</v>
      </c>
      <c r="J97" s="35">
        <f t="shared" si="8"/>
        <v>25.007732123735355</v>
      </c>
      <c r="K97" s="35">
        <f t="shared" si="8"/>
        <v>25.003866065735355</v>
      </c>
      <c r="L97" s="35">
        <f t="shared" si="8"/>
        <v>25.000000007735355</v>
      </c>
    </row>
    <row r="98" spans="1:12" x14ac:dyDescent="0.25">
      <c r="A98" s="6" t="s">
        <v>106</v>
      </c>
      <c r="B98" s="6" t="s">
        <v>107</v>
      </c>
      <c r="C98" s="5">
        <f t="shared" si="1"/>
        <v>2.1087584565347739</v>
      </c>
      <c r="D98" s="5">
        <f t="shared" si="1"/>
        <v>2.0318311601994221</v>
      </c>
      <c r="E98" s="5">
        <f t="shared" si="1"/>
        <v>2.8449072872758587</v>
      </c>
      <c r="F98" s="5">
        <f t="shared" si="1"/>
        <v>25.132734918258564</v>
      </c>
      <c r="G98" s="35">
        <f t="shared" ref="G98:L98" si="9">F98-0.022122485</f>
        <v>25.110612433258563</v>
      </c>
      <c r="H98" s="35">
        <f>G98-0.022122485</f>
        <v>25.088489948258562</v>
      </c>
      <c r="I98" s="35">
        <f>H98-0.022122485</f>
        <v>25.066367463258562</v>
      </c>
      <c r="J98" s="35">
        <f t="shared" si="9"/>
        <v>25.044244978258561</v>
      </c>
      <c r="K98" s="35">
        <f t="shared" si="9"/>
        <v>25.022122493258561</v>
      </c>
      <c r="L98" s="35">
        <f t="shared" si="9"/>
        <v>25.00000000825856</v>
      </c>
    </row>
    <row r="99" spans="1:12" x14ac:dyDescent="0.25">
      <c r="A99" s="6" t="s">
        <v>108</v>
      </c>
      <c r="B99" s="6" t="s">
        <v>109</v>
      </c>
      <c r="C99" s="5">
        <f t="shared" si="1"/>
        <v>24.028144456495767</v>
      </c>
      <c r="D99" s="5">
        <f t="shared" si="1"/>
        <v>27.950458062120653</v>
      </c>
      <c r="E99" s="5">
        <f t="shared" si="1"/>
        <v>45.862199370071835</v>
      </c>
      <c r="F99" s="5">
        <f t="shared" si="1"/>
        <v>23.626912632088118</v>
      </c>
      <c r="G99" s="35">
        <f t="shared" ref="G99:L99" si="10">F99+0.228847896</f>
        <v>23.855760528088119</v>
      </c>
      <c r="H99" s="35">
        <f>G99+0.228847896</f>
        <v>24.08460842408812</v>
      </c>
      <c r="I99" s="35">
        <f>H99+0.228847896</f>
        <v>24.313456320088122</v>
      </c>
      <c r="J99" s="35">
        <f t="shared" si="10"/>
        <v>24.542304216088123</v>
      </c>
      <c r="K99" s="35">
        <f t="shared" si="10"/>
        <v>24.771152112088124</v>
      </c>
      <c r="L99" s="35">
        <f t="shared" si="10"/>
        <v>25.000000008088126</v>
      </c>
    </row>
    <row r="100" spans="1:12" x14ac:dyDescent="0.25">
      <c r="A100" s="6" t="s">
        <v>110</v>
      </c>
      <c r="B100" s="6" t="s">
        <v>111</v>
      </c>
      <c r="C100" s="5">
        <f t="shared" si="1"/>
        <v>2.7992572657811086</v>
      </c>
      <c r="D100" s="5">
        <f t="shared" si="1"/>
        <v>2.7821798300734186</v>
      </c>
      <c r="E100" s="5">
        <f t="shared" si="1"/>
        <v>3.9723842011056263</v>
      </c>
      <c r="F100" s="5">
        <f t="shared" si="1"/>
        <v>10.622787625757585</v>
      </c>
      <c r="G100" s="35">
        <f t="shared" ref="G100:L100" si="11">F100+2.396202063</f>
        <v>13.018989688757586</v>
      </c>
      <c r="H100" s="35">
        <f>G100+2.396202063</f>
        <v>15.415191751757586</v>
      </c>
      <c r="I100" s="35">
        <f>H100+2.396202063</f>
        <v>17.811393814757587</v>
      </c>
      <c r="J100" s="35">
        <f t="shared" si="11"/>
        <v>20.207595877757587</v>
      </c>
      <c r="K100" s="35">
        <f t="shared" si="11"/>
        <v>22.603797940757588</v>
      </c>
      <c r="L100" s="35">
        <f t="shared" si="11"/>
        <v>25.000000003757588</v>
      </c>
    </row>
    <row r="101" spans="1:12" x14ac:dyDescent="0.25">
      <c r="A101" s="6" t="s">
        <v>112</v>
      </c>
      <c r="B101" s="6" t="s">
        <v>113</v>
      </c>
      <c r="C101" s="5">
        <f t="shared" si="1"/>
        <v>2.4239032576345858</v>
      </c>
      <c r="D101" s="5">
        <f t="shared" si="1"/>
        <v>17.138998707914396</v>
      </c>
      <c r="E101" s="5">
        <f t="shared" si="1"/>
        <v>29.449751943839882</v>
      </c>
      <c r="F101" s="5">
        <f t="shared" si="1"/>
        <v>26.930437097918947</v>
      </c>
      <c r="G101" s="35">
        <f t="shared" ref="G101:L101" si="12">F101-0.321739515</f>
        <v>26.608697582918946</v>
      </c>
      <c r="H101" s="35">
        <f>G101-0.321739515</f>
        <v>26.286958067918945</v>
      </c>
      <c r="I101" s="35">
        <f>H101-0.321739515</f>
        <v>25.965218552918945</v>
      </c>
      <c r="J101" s="35">
        <f t="shared" si="12"/>
        <v>25.643479037918944</v>
      </c>
      <c r="K101" s="35">
        <f t="shared" si="12"/>
        <v>25.321739522918943</v>
      </c>
      <c r="L101" s="35">
        <f t="shared" si="12"/>
        <v>25.000000007918942</v>
      </c>
    </row>
    <row r="102" spans="1:12" x14ac:dyDescent="0.25">
      <c r="A102" s="6" t="s">
        <v>114</v>
      </c>
      <c r="B102" s="6" t="s">
        <v>115</v>
      </c>
      <c r="C102" s="5">
        <f t="shared" si="1"/>
        <v>36.294076232678563</v>
      </c>
      <c r="D102" s="5">
        <f t="shared" si="1"/>
        <v>36.294075592983852</v>
      </c>
      <c r="E102" s="5">
        <f t="shared" si="1"/>
        <v>26.904131064503773</v>
      </c>
      <c r="F102" s="5">
        <f t="shared" si="1"/>
        <v>29.053249157866695</v>
      </c>
      <c r="G102" s="35">
        <f t="shared" ref="G102:L102" si="13">F102-0.675541525</f>
        <v>28.377707632866695</v>
      </c>
      <c r="H102" s="35">
        <f>G102-0.675541525</f>
        <v>27.702166107866695</v>
      </c>
      <c r="I102" s="35">
        <f>H102-0.675541525</f>
        <v>27.026624582866695</v>
      </c>
      <c r="J102" s="35">
        <f t="shared" si="13"/>
        <v>26.351083057866695</v>
      </c>
      <c r="K102" s="35">
        <f t="shared" si="13"/>
        <v>25.675541532866696</v>
      </c>
      <c r="L102" s="35">
        <f t="shared" si="13"/>
        <v>25.000000007866696</v>
      </c>
    </row>
    <row r="103" spans="1:12" x14ac:dyDescent="0.25">
      <c r="A103" s="6" t="s">
        <v>116</v>
      </c>
      <c r="B103" s="6" t="s">
        <v>117</v>
      </c>
      <c r="C103" s="5">
        <f t="shared" si="1"/>
        <v>2.9809310717025275</v>
      </c>
      <c r="D103" s="5">
        <f t="shared" si="1"/>
        <v>25.975235669375774</v>
      </c>
      <c r="E103" s="5">
        <f t="shared" si="1"/>
        <v>2.2568456170450277</v>
      </c>
      <c r="F103" s="5">
        <f t="shared" si="1"/>
        <v>23.956695709477838</v>
      </c>
      <c r="G103" s="35">
        <f t="shared" ref="G103:L103" si="14">F103+0.173884049</f>
        <v>24.13057975847784</v>
      </c>
      <c r="H103" s="35">
        <f>G103+0.173884049</f>
        <v>24.304463807477841</v>
      </c>
      <c r="I103" s="35">
        <f>H103+0.173884049</f>
        <v>24.478347856477843</v>
      </c>
      <c r="J103" s="35">
        <f t="shared" si="14"/>
        <v>24.652231905477844</v>
      </c>
      <c r="K103" s="35">
        <f t="shared" si="14"/>
        <v>24.826115954477846</v>
      </c>
      <c r="L103" s="35">
        <f t="shared" si="14"/>
        <v>25.000000003477847</v>
      </c>
    </row>
    <row r="104" spans="1:12" x14ac:dyDescent="0.25">
      <c r="A104" s="6" t="s">
        <v>118</v>
      </c>
      <c r="B104" s="6" t="s">
        <v>119</v>
      </c>
      <c r="C104" s="5">
        <f t="shared" si="1"/>
        <v>30.591685299426739</v>
      </c>
      <c r="D104" s="5">
        <f t="shared" si="1"/>
        <v>30.591685454577611</v>
      </c>
      <c r="E104" s="5">
        <f t="shared" si="1"/>
        <v>26.14600113332272</v>
      </c>
      <c r="F104" s="5">
        <f t="shared" si="1"/>
        <v>26.299368345381691</v>
      </c>
      <c r="G104" s="35">
        <f t="shared" ref="G104:L104" si="15">F104-0.21656139</f>
        <v>26.082806955381692</v>
      </c>
      <c r="H104" s="35">
        <f>G104-0.21656139</f>
        <v>25.866245565381693</v>
      </c>
      <c r="I104" s="35">
        <f>H104-0.21656139</f>
        <v>25.649684175381694</v>
      </c>
      <c r="J104" s="35">
        <f t="shared" si="15"/>
        <v>25.433122785381695</v>
      </c>
      <c r="K104" s="35">
        <f t="shared" si="15"/>
        <v>25.216561395381696</v>
      </c>
      <c r="L104" s="35">
        <f t="shared" si="15"/>
        <v>25.000000005381697</v>
      </c>
    </row>
    <row r="105" spans="1:12" x14ac:dyDescent="0.25">
      <c r="A105" s="6" t="s">
        <v>120</v>
      </c>
      <c r="B105" s="6" t="s">
        <v>121</v>
      </c>
      <c r="C105" s="5">
        <f t="shared" si="1"/>
        <v>42.815563361778622</v>
      </c>
      <c r="D105" s="5">
        <f t="shared" si="1"/>
        <v>15.938918200491212</v>
      </c>
      <c r="E105" s="5">
        <f t="shared" si="1"/>
        <v>33.739895432212407</v>
      </c>
      <c r="F105" s="5">
        <f t="shared" si="1"/>
        <v>25.646426582623626</v>
      </c>
      <c r="G105" s="35">
        <f t="shared" ref="G105:L105" si="16">F105-0.107737763</f>
        <v>25.538688819623626</v>
      </c>
      <c r="H105" s="35">
        <f>G105-0.107737763</f>
        <v>25.430951056623627</v>
      </c>
      <c r="I105" s="35">
        <f>H105-0.107737763</f>
        <v>25.323213293623628</v>
      </c>
      <c r="J105" s="35">
        <f t="shared" si="16"/>
        <v>25.215475530623628</v>
      </c>
      <c r="K105" s="35">
        <f t="shared" si="16"/>
        <v>25.107737767623629</v>
      </c>
      <c r="L105" s="35">
        <f t="shared" si="16"/>
        <v>25.000000004623629</v>
      </c>
    </row>
    <row r="106" spans="1:12" x14ac:dyDescent="0.25">
      <c r="A106" s="6" t="s">
        <v>122</v>
      </c>
      <c r="B106" s="6" t="s">
        <v>123</v>
      </c>
      <c r="C106" s="5">
        <f t="shared" si="1"/>
        <v>1.9742599560057132</v>
      </c>
      <c r="D106" s="5">
        <f t="shared" si="1"/>
        <v>1.7144385014112571</v>
      </c>
      <c r="E106" s="5">
        <f t="shared" si="1"/>
        <v>1.4802977249633842</v>
      </c>
      <c r="F106" s="5">
        <f t="shared" si="1"/>
        <v>1.624807414376888</v>
      </c>
      <c r="G106" s="35">
        <f t="shared" ref="G106:L106" si="17">F106+3.895865432</f>
        <v>5.5206728463768879</v>
      </c>
      <c r="H106" s="35">
        <f>G106+3.895865432</f>
        <v>9.416538278376887</v>
      </c>
      <c r="I106" s="35">
        <f>H106+3.895865432</f>
        <v>13.312403710376888</v>
      </c>
      <c r="J106" s="35">
        <f t="shared" si="17"/>
        <v>17.208269142376889</v>
      </c>
      <c r="K106" s="35">
        <f t="shared" si="17"/>
        <v>21.104134574376889</v>
      </c>
      <c r="L106" s="35">
        <f t="shared" si="17"/>
        <v>25.00000000637689</v>
      </c>
    </row>
    <row r="107" spans="1:12" x14ac:dyDescent="0.25">
      <c r="A107" s="6" t="s">
        <v>124</v>
      </c>
      <c r="B107" s="6" t="s">
        <v>125</v>
      </c>
      <c r="C107" s="5">
        <f t="shared" si="1"/>
        <v>7.3456286136627096</v>
      </c>
      <c r="D107" s="5">
        <f t="shared" si="1"/>
        <v>3.2851095188649109</v>
      </c>
      <c r="E107" s="5">
        <f t="shared" si="1"/>
        <v>4.2958852120600071</v>
      </c>
      <c r="F107" s="5">
        <f t="shared" si="1"/>
        <v>1.4493244022531493</v>
      </c>
      <c r="G107" s="35">
        <f t="shared" ref="G107:L107" si="18">F107+3.925112601</f>
        <v>5.3744370032531492</v>
      </c>
      <c r="H107" s="35">
        <f>G107+3.925112601</f>
        <v>9.2995496042531496</v>
      </c>
      <c r="I107" s="35">
        <f>H107+3.925112601</f>
        <v>13.22466220525315</v>
      </c>
      <c r="J107" s="35">
        <f t="shared" si="18"/>
        <v>17.149774806253149</v>
      </c>
      <c r="K107" s="35">
        <f t="shared" si="18"/>
        <v>21.074887407253147</v>
      </c>
      <c r="L107" s="35">
        <f t="shared" si="18"/>
        <v>25.000000008253146</v>
      </c>
    </row>
    <row r="108" spans="1:12" x14ac:dyDescent="0.25">
      <c r="A108" s="6" t="s">
        <v>126</v>
      </c>
      <c r="B108" s="6" t="s">
        <v>127</v>
      </c>
      <c r="C108" s="5">
        <f t="shared" si="1"/>
        <v>45.801712769904391</v>
      </c>
      <c r="D108" s="5">
        <f t="shared" si="1"/>
        <v>47.843027767006028</v>
      </c>
      <c r="E108" s="5">
        <f t="shared" si="1"/>
        <v>22.396839429231498</v>
      </c>
      <c r="F108" s="5">
        <f t="shared" si="1"/>
        <v>21.584417565247126</v>
      </c>
      <c r="G108" s="35">
        <f t="shared" ref="G108:L108" si="19">F108+0.56926374</f>
        <v>22.153681305247126</v>
      </c>
      <c r="H108" s="35">
        <f>G108+0.56926374</f>
        <v>22.722945045247126</v>
      </c>
      <c r="I108" s="35">
        <f>H108+0.56926374</f>
        <v>23.292208785247126</v>
      </c>
      <c r="J108" s="35">
        <f t="shared" si="19"/>
        <v>23.861472525247127</v>
      </c>
      <c r="K108" s="35">
        <f t="shared" si="19"/>
        <v>24.430736265247127</v>
      </c>
      <c r="L108" s="35">
        <f t="shared" si="19"/>
        <v>25.000000005247127</v>
      </c>
    </row>
    <row r="109" spans="1:12" x14ac:dyDescent="0.25">
      <c r="A109" s="6" t="s">
        <v>128</v>
      </c>
      <c r="B109" s="6" t="s">
        <v>129</v>
      </c>
      <c r="C109" s="5">
        <f t="shared" si="1"/>
        <v>10.525330641603187</v>
      </c>
      <c r="D109" s="5">
        <f t="shared" si="1"/>
        <v>18.310789159966077</v>
      </c>
      <c r="E109" s="5">
        <f t="shared" si="1"/>
        <v>2.0642114301398586</v>
      </c>
      <c r="F109" s="5">
        <f t="shared" si="1"/>
        <v>5.9451695916632596</v>
      </c>
      <c r="G109" s="35">
        <f t="shared" ref="G109:L109" si="20">F109+3.175805069</f>
        <v>9.1209746606632596</v>
      </c>
      <c r="H109" s="35">
        <f>G109+3.175805069</f>
        <v>12.29677972966326</v>
      </c>
      <c r="I109" s="35">
        <f>H109+3.175805069</f>
        <v>15.472584798663259</v>
      </c>
      <c r="J109" s="35">
        <f t="shared" si="20"/>
        <v>18.648389867663258</v>
      </c>
      <c r="K109" s="35">
        <f t="shared" si="20"/>
        <v>21.824194936663257</v>
      </c>
      <c r="L109" s="35">
        <f t="shared" si="20"/>
        <v>25.000000005663257</v>
      </c>
    </row>
    <row r="110" spans="1:12" x14ac:dyDescent="0.25">
      <c r="A110" s="6" t="s">
        <v>130</v>
      </c>
      <c r="B110" s="6" t="s">
        <v>131</v>
      </c>
      <c r="C110" s="5">
        <f t="shared" si="1"/>
        <v>22.559099717756922</v>
      </c>
      <c r="D110" s="5">
        <f t="shared" si="1"/>
        <v>44.144892579495206</v>
      </c>
      <c r="E110" s="5">
        <f t="shared" si="1"/>
        <v>42.537980553316693</v>
      </c>
      <c r="F110" s="5">
        <f t="shared" si="1"/>
        <v>25.110246440422408</v>
      </c>
      <c r="G110" s="35">
        <f t="shared" ref="G110:L110" si="21">F110-0.018374406</f>
        <v>25.091872034422408</v>
      </c>
      <c r="H110" s="35">
        <f>G110-0.018374406</f>
        <v>25.073497628422409</v>
      </c>
      <c r="I110" s="35">
        <f>H110-0.018374406</f>
        <v>25.055123222422409</v>
      </c>
      <c r="J110" s="35">
        <f t="shared" si="21"/>
        <v>25.03674881642241</v>
      </c>
      <c r="K110" s="35">
        <f t="shared" si="21"/>
        <v>25.01837441042241</v>
      </c>
      <c r="L110" s="35">
        <f t="shared" si="21"/>
        <v>25.000000004422411</v>
      </c>
    </row>
    <row r="111" spans="1:12" x14ac:dyDescent="0.25">
      <c r="A111" s="6" t="s">
        <v>132</v>
      </c>
      <c r="B111" s="6" t="s">
        <v>133</v>
      </c>
      <c r="C111" s="5">
        <f t="shared" ref="C111:F123" si="22">C29/C70*100</f>
        <v>3.3011900973406823</v>
      </c>
      <c r="D111" s="5">
        <f t="shared" si="22"/>
        <v>0.50626832103877539</v>
      </c>
      <c r="E111" s="5">
        <f t="shared" si="22"/>
        <v>2.5574455426802061</v>
      </c>
      <c r="F111" s="5">
        <f t="shared" si="22"/>
        <v>1.1169129430484399</v>
      </c>
      <c r="G111" s="35">
        <f t="shared" ref="G111:L111" si="23">F111+3.98051451</f>
        <v>5.0974274530484394</v>
      </c>
      <c r="H111" s="35">
        <f>G111+3.98051451</f>
        <v>9.0779419630484384</v>
      </c>
      <c r="I111" s="35">
        <f>H111+3.98051451</f>
        <v>13.058456473048437</v>
      </c>
      <c r="J111" s="35">
        <f t="shared" si="23"/>
        <v>17.038970983048436</v>
      </c>
      <c r="K111" s="35">
        <f t="shared" si="23"/>
        <v>21.019485493048435</v>
      </c>
      <c r="L111" s="35">
        <f t="shared" si="23"/>
        <v>25.000000003048434</v>
      </c>
    </row>
    <row r="112" spans="1:12" x14ac:dyDescent="0.25">
      <c r="A112" s="6" t="s">
        <v>134</v>
      </c>
      <c r="B112" s="6" t="s">
        <v>135</v>
      </c>
      <c r="C112" s="5">
        <f t="shared" si="22"/>
        <v>37.440760055442617</v>
      </c>
      <c r="D112" s="5">
        <f t="shared" si="22"/>
        <v>30.962175435074119</v>
      </c>
      <c r="E112" s="5">
        <f t="shared" si="22"/>
        <v>30.070929436593101</v>
      </c>
      <c r="F112" s="5">
        <f t="shared" si="22"/>
        <v>26.879862957590074</v>
      </c>
      <c r="G112" s="35">
        <f t="shared" ref="G112:L112" si="24">F112-0.313310492</f>
        <v>26.566552465590075</v>
      </c>
      <c r="H112" s="35">
        <f>G112-0.313310492</f>
        <v>26.253241973590075</v>
      </c>
      <c r="I112" s="35">
        <f>H112-0.313310492</f>
        <v>25.939931481590076</v>
      </c>
      <c r="J112" s="35">
        <f t="shared" si="24"/>
        <v>25.626620989590077</v>
      </c>
      <c r="K112" s="35">
        <f t="shared" si="24"/>
        <v>25.313310497590077</v>
      </c>
      <c r="L112" s="35">
        <f t="shared" si="24"/>
        <v>25.000000005590078</v>
      </c>
    </row>
    <row r="113" spans="1:12" x14ac:dyDescent="0.25">
      <c r="A113" s="6" t="s">
        <v>136</v>
      </c>
      <c r="B113" s="6" t="s">
        <v>137</v>
      </c>
      <c r="C113" s="5">
        <f t="shared" si="22"/>
        <v>3.4790468641070369</v>
      </c>
      <c r="D113" s="5">
        <f t="shared" si="22"/>
        <v>5.0148130939687618</v>
      </c>
      <c r="E113" s="5">
        <f t="shared" si="22"/>
        <v>31.449659153497038</v>
      </c>
      <c r="F113" s="5">
        <f t="shared" si="22"/>
        <v>22.247493778745639</v>
      </c>
      <c r="G113" s="35">
        <f t="shared" ref="G113:L113" si="25">F113+0.458751038</f>
        <v>22.706244816745638</v>
      </c>
      <c r="H113" s="35">
        <f>G113+0.458751038</f>
        <v>23.164995854745637</v>
      </c>
      <c r="I113" s="35">
        <f>H113+0.458751038</f>
        <v>23.623746892745636</v>
      </c>
      <c r="J113" s="35">
        <f t="shared" si="25"/>
        <v>24.082497930745635</v>
      </c>
      <c r="K113" s="35">
        <f t="shared" si="25"/>
        <v>24.541248968745634</v>
      </c>
      <c r="L113" s="35">
        <f t="shared" si="25"/>
        <v>25.000000006745633</v>
      </c>
    </row>
    <row r="114" spans="1:12" x14ac:dyDescent="0.25">
      <c r="A114" s="6" t="s">
        <v>138</v>
      </c>
      <c r="B114" s="6" t="s">
        <v>139</v>
      </c>
      <c r="C114" s="5">
        <f t="shared" si="22"/>
        <v>27.88603600457688</v>
      </c>
      <c r="D114" s="5">
        <f t="shared" si="22"/>
        <v>28.234175192853638</v>
      </c>
      <c r="E114" s="5">
        <f t="shared" si="22"/>
        <v>31.178884423853148</v>
      </c>
      <c r="F114" s="5">
        <f t="shared" si="22"/>
        <v>31.403754591013584</v>
      </c>
      <c r="G114" s="35">
        <f t="shared" ref="G114:L114" si="26">F114-1.067292431</f>
        <v>30.336462160013586</v>
      </c>
      <c r="H114" s="35">
        <f>G114-1.067292431</f>
        <v>29.269169729013587</v>
      </c>
      <c r="I114" s="35">
        <f>H114-1.067292431</f>
        <v>28.201877298013589</v>
      </c>
      <c r="J114" s="35">
        <f t="shared" si="26"/>
        <v>27.13458486701359</v>
      </c>
      <c r="K114" s="35">
        <f t="shared" si="26"/>
        <v>26.067292436013592</v>
      </c>
      <c r="L114" s="35">
        <f t="shared" si="26"/>
        <v>25.000000005013593</v>
      </c>
    </row>
    <row r="115" spans="1:12" x14ac:dyDescent="0.25">
      <c r="A115" s="6" t="s">
        <v>140</v>
      </c>
      <c r="B115" s="6" t="s">
        <v>141</v>
      </c>
      <c r="C115" s="5">
        <f t="shared" si="22"/>
        <v>4.4163922719983102</v>
      </c>
      <c r="D115" s="5">
        <f t="shared" si="22"/>
        <v>28.700082560962425</v>
      </c>
      <c r="E115" s="5">
        <f t="shared" si="22"/>
        <v>29.583984534758734</v>
      </c>
      <c r="F115" s="5">
        <f t="shared" si="22"/>
        <v>2.850131257611058</v>
      </c>
      <c r="G115" s="35">
        <f t="shared" ref="G115:L115" si="27">F115+3.691644791</f>
        <v>6.5417760486110579</v>
      </c>
      <c r="H115" s="35">
        <f>G115+3.691644791</f>
        <v>10.233420839611057</v>
      </c>
      <c r="I115" s="35">
        <f>H115+3.691644791</f>
        <v>13.925065630611057</v>
      </c>
      <c r="J115" s="35">
        <f t="shared" si="27"/>
        <v>17.616710421611057</v>
      </c>
      <c r="K115" s="35">
        <f t="shared" si="27"/>
        <v>21.308355212611055</v>
      </c>
      <c r="L115" s="35">
        <f t="shared" si="27"/>
        <v>25.000000003611056</v>
      </c>
    </row>
    <row r="116" spans="1:12" x14ac:dyDescent="0.25">
      <c r="A116" s="6" t="s">
        <v>142</v>
      </c>
      <c r="B116" s="6" t="s">
        <v>143</v>
      </c>
      <c r="C116" s="5">
        <f t="shared" si="22"/>
        <v>23.083631701176959</v>
      </c>
      <c r="D116" s="5">
        <f t="shared" si="22"/>
        <v>20.03476505836116</v>
      </c>
      <c r="E116" s="5">
        <f t="shared" si="22"/>
        <v>25.401392085738834</v>
      </c>
      <c r="F116" s="5">
        <f t="shared" si="22"/>
        <v>6.3422092719718828</v>
      </c>
      <c r="G116" s="35">
        <f t="shared" ref="G116:L116" si="28">F116+3.109631789</f>
        <v>9.4518410609718835</v>
      </c>
      <c r="H116" s="35">
        <f>G116+3.109631789</f>
        <v>12.561472849971883</v>
      </c>
      <c r="I116" s="35">
        <f>H116+3.109631789</f>
        <v>15.671104638971883</v>
      </c>
      <c r="J116" s="35">
        <f t="shared" si="28"/>
        <v>18.780736427971881</v>
      </c>
      <c r="K116" s="35">
        <f t="shared" si="28"/>
        <v>21.890368216971879</v>
      </c>
      <c r="L116" s="35">
        <f t="shared" si="28"/>
        <v>25.000000005971877</v>
      </c>
    </row>
    <row r="117" spans="1:12" x14ac:dyDescent="0.25">
      <c r="A117" s="6" t="s">
        <v>144</v>
      </c>
      <c r="B117" s="6" t="s">
        <v>145</v>
      </c>
      <c r="C117" s="5">
        <f t="shared" si="22"/>
        <v>12.779846070068068</v>
      </c>
      <c r="D117" s="5">
        <f t="shared" si="22"/>
        <v>9.615783577584363</v>
      </c>
      <c r="E117" s="5">
        <f t="shared" si="22"/>
        <v>9.6046138646864492</v>
      </c>
      <c r="F117" s="5">
        <f t="shared" si="22"/>
        <v>8.2100991352777477</v>
      </c>
      <c r="G117" s="35">
        <f t="shared" ref="G117:L117" si="29">F117+2.798316812</f>
        <v>11.008415947277747</v>
      </c>
      <c r="H117" s="35">
        <f>G117+2.798316812</f>
        <v>13.806732759277747</v>
      </c>
      <c r="I117" s="35">
        <f>H117+2.798316812</f>
        <v>16.605049571277746</v>
      </c>
      <c r="J117" s="35">
        <f t="shared" si="29"/>
        <v>19.403366383277746</v>
      </c>
      <c r="K117" s="35">
        <f t="shared" si="29"/>
        <v>22.201683195277745</v>
      </c>
      <c r="L117" s="35">
        <f t="shared" si="29"/>
        <v>25.000000007277745</v>
      </c>
    </row>
    <row r="118" spans="1:12" x14ac:dyDescent="0.25">
      <c r="A118" s="6" t="s">
        <v>146</v>
      </c>
      <c r="B118" s="6" t="s">
        <v>147</v>
      </c>
      <c r="C118" s="5">
        <f t="shared" si="22"/>
        <v>27.439658531297876</v>
      </c>
      <c r="D118" s="5">
        <f t="shared" si="22"/>
        <v>27.734609098716639</v>
      </c>
      <c r="E118" s="5">
        <f t="shared" si="22"/>
        <v>26.505270368506402</v>
      </c>
      <c r="F118" s="5">
        <f t="shared" si="22"/>
        <v>26.544829261668834</v>
      </c>
      <c r="G118" s="35">
        <f t="shared" ref="G118:L118" si="30">F118-0.257471543</f>
        <v>26.287357718668833</v>
      </c>
      <c r="H118" s="35">
        <f>G118-0.257471543</f>
        <v>26.029886175668832</v>
      </c>
      <c r="I118" s="35">
        <f>H118-0.257471543</f>
        <v>25.772414632668831</v>
      </c>
      <c r="J118" s="35">
        <f t="shared" si="30"/>
        <v>25.514943089668829</v>
      </c>
      <c r="K118" s="35">
        <f t="shared" si="30"/>
        <v>25.257471546668828</v>
      </c>
      <c r="L118" s="35">
        <f t="shared" si="30"/>
        <v>25.000000003668827</v>
      </c>
    </row>
    <row r="119" spans="1:12" x14ac:dyDescent="0.25">
      <c r="A119" s="6" t="s">
        <v>148</v>
      </c>
      <c r="B119" s="6" t="s">
        <v>149</v>
      </c>
      <c r="C119" s="5">
        <f t="shared" si="22"/>
        <v>9.6867258511088146</v>
      </c>
      <c r="D119" s="5">
        <f t="shared" si="22"/>
        <v>8.8297456076538143</v>
      </c>
      <c r="E119" s="5">
        <f t="shared" si="22"/>
        <v>7.6588579519476774</v>
      </c>
      <c r="F119" s="5">
        <f t="shared" si="22"/>
        <v>24.051810234006485</v>
      </c>
      <c r="G119" s="35">
        <f t="shared" ref="G119:L119" si="31">F119+0.158031629</f>
        <v>24.209841863006485</v>
      </c>
      <c r="H119" s="35">
        <f>G119+0.158031629</f>
        <v>24.367873492006485</v>
      </c>
      <c r="I119" s="35">
        <f>H119+0.158031629</f>
        <v>24.525905121006485</v>
      </c>
      <c r="J119" s="35">
        <f t="shared" si="31"/>
        <v>24.683936750006485</v>
      </c>
      <c r="K119" s="35">
        <f t="shared" si="31"/>
        <v>24.841968379006484</v>
      </c>
      <c r="L119" s="35">
        <f t="shared" si="31"/>
        <v>25.000000008006484</v>
      </c>
    </row>
    <row r="120" spans="1:12" x14ac:dyDescent="0.25">
      <c r="A120" s="6" t="s">
        <v>150</v>
      </c>
      <c r="B120" s="6" t="s">
        <v>151</v>
      </c>
      <c r="C120" s="5">
        <f t="shared" si="22"/>
        <v>4.1854272368272163</v>
      </c>
      <c r="D120" s="5">
        <f t="shared" si="22"/>
        <v>3.7830700281529834</v>
      </c>
      <c r="E120" s="5">
        <f t="shared" si="22"/>
        <v>1.4637016350841727</v>
      </c>
      <c r="F120" s="5">
        <f t="shared" si="22"/>
        <v>2.1578602217766902</v>
      </c>
      <c r="G120" s="35">
        <f t="shared" ref="G120:L120" si="32">F120+3.807023297</f>
        <v>5.9648835187766904</v>
      </c>
      <c r="H120" s="35">
        <f>G120+3.807023297</f>
        <v>9.7719068157766902</v>
      </c>
      <c r="I120" s="35">
        <f>H120+3.807023297</f>
        <v>13.578930112776691</v>
      </c>
      <c r="J120" s="35">
        <f t="shared" si="32"/>
        <v>17.38595340977669</v>
      </c>
      <c r="K120" s="35">
        <f t="shared" si="32"/>
        <v>21.19297670677669</v>
      </c>
      <c r="L120" s="35">
        <f t="shared" si="32"/>
        <v>25.000000003776691</v>
      </c>
    </row>
    <row r="121" spans="1:12" x14ac:dyDescent="0.25">
      <c r="A121" s="6" t="s">
        <v>152</v>
      </c>
      <c r="B121" s="6" t="s">
        <v>153</v>
      </c>
      <c r="C121" s="5">
        <f t="shared" si="22"/>
        <v>0.13800900648862996</v>
      </c>
      <c r="D121" s="5">
        <f t="shared" si="22"/>
        <v>5.7866510205687689</v>
      </c>
      <c r="E121" s="5">
        <f t="shared" si="22"/>
        <v>26.605304142071816</v>
      </c>
      <c r="F121" s="5">
        <f t="shared" si="22"/>
        <v>23.012806998916044</v>
      </c>
      <c r="G121" s="35">
        <f t="shared" ref="G121:L121" si="33">F121+0.331198834</f>
        <v>23.344005832916043</v>
      </c>
      <c r="H121" s="35">
        <f>G121+0.331198834</f>
        <v>23.675204666916041</v>
      </c>
      <c r="I121" s="35">
        <f>H121+0.331198834</f>
        <v>24.00640350091604</v>
      </c>
      <c r="J121" s="35">
        <f t="shared" si="33"/>
        <v>24.337602334916038</v>
      </c>
      <c r="K121" s="35">
        <f t="shared" si="33"/>
        <v>24.668801168916037</v>
      </c>
      <c r="L121" s="35">
        <f t="shared" si="33"/>
        <v>25.000000002916035</v>
      </c>
    </row>
    <row r="122" spans="1:12" x14ac:dyDescent="0.25">
      <c r="A122" s="6" t="s">
        <v>154</v>
      </c>
      <c r="B122" s="6" t="s">
        <v>155</v>
      </c>
      <c r="C122" s="5">
        <f t="shared" si="22"/>
        <v>13.272538518544334</v>
      </c>
      <c r="D122" s="5">
        <f t="shared" si="22"/>
        <v>12.099091172097639</v>
      </c>
      <c r="E122" s="5">
        <f t="shared" si="22"/>
        <v>11.420327016419602</v>
      </c>
      <c r="F122" s="5">
        <f t="shared" si="22"/>
        <v>11.344796296597485</v>
      </c>
      <c r="G122" s="35">
        <f t="shared" ref="G122:L122" si="34">F122+2.275867285</f>
        <v>13.620663581597485</v>
      </c>
      <c r="H122" s="35">
        <f>G122+2.275867285</f>
        <v>15.896530866597486</v>
      </c>
      <c r="I122" s="35">
        <f>H122+2.275867285</f>
        <v>18.172398151597484</v>
      </c>
      <c r="J122" s="35">
        <f t="shared" si="34"/>
        <v>20.448265436597485</v>
      </c>
      <c r="K122" s="35">
        <f t="shared" si="34"/>
        <v>22.724132721597485</v>
      </c>
      <c r="L122" s="35">
        <f t="shared" si="34"/>
        <v>25.000000006597485</v>
      </c>
    </row>
    <row r="123" spans="1:12" s="2" customFormat="1" ht="16.5" x14ac:dyDescent="0.3">
      <c r="A123" s="268" t="s">
        <v>156</v>
      </c>
      <c r="B123" s="268"/>
      <c r="C123" s="109">
        <f t="shared" si="22"/>
        <v>18.503735483070024</v>
      </c>
      <c r="D123" s="109">
        <f t="shared" si="22"/>
        <v>18.88397214637104</v>
      </c>
      <c r="E123" s="109">
        <f t="shared" si="22"/>
        <v>21.709377946388162</v>
      </c>
      <c r="F123" s="109">
        <f t="shared" si="22"/>
        <v>19.594304040950757</v>
      </c>
      <c r="G123" s="95">
        <f t="shared" ref="G123:L123" si="35">G41/G82*100</f>
        <v>24.302521610091095</v>
      </c>
      <c r="H123" s="112">
        <f t="shared" si="35"/>
        <v>24.599999994465296</v>
      </c>
      <c r="I123" s="112">
        <f t="shared" si="35"/>
        <v>23.570843516223619</v>
      </c>
      <c r="J123" s="127">
        <f t="shared" si="35"/>
        <v>23.645982410740178</v>
      </c>
      <c r="K123" s="127">
        <f t="shared" si="35"/>
        <v>23.798397761785171</v>
      </c>
      <c r="L123" s="127">
        <f t="shared" si="35"/>
        <v>23.951795539308804</v>
      </c>
    </row>
    <row r="124" spans="1:12" s="34" customFormat="1" ht="17.25" thickBot="1" x14ac:dyDescent="0.35">
      <c r="A124" s="73"/>
      <c r="B124" s="74"/>
      <c r="C124" s="72"/>
      <c r="D124" s="72"/>
      <c r="E124" s="72"/>
      <c r="F124" s="72"/>
      <c r="G124" s="72"/>
      <c r="H124" s="71"/>
      <c r="I124" s="71"/>
      <c r="J124" s="71"/>
      <c r="K124" s="71"/>
      <c r="L124" s="71"/>
    </row>
    <row r="125" spans="1:12" ht="67.5" customHeight="1" thickTop="1" thickBot="1" x14ac:dyDescent="0.3">
      <c r="B125" s="219" t="s">
        <v>230</v>
      </c>
      <c r="C125" s="220"/>
      <c r="D125" s="220"/>
      <c r="E125" s="220"/>
      <c r="F125" s="220"/>
      <c r="G125" s="221"/>
    </row>
    <row r="126" spans="1:12" ht="16.5" thickTop="1" x14ac:dyDescent="0.25">
      <c r="C126" s="222" t="s">
        <v>206</v>
      </c>
      <c r="D126" s="223"/>
      <c r="E126" s="223"/>
      <c r="F126" s="224"/>
    </row>
    <row r="127" spans="1:12" x14ac:dyDescent="0.25">
      <c r="C127" s="75" t="s">
        <v>211</v>
      </c>
      <c r="D127" s="77" t="s">
        <v>212</v>
      </c>
      <c r="E127" s="70" t="s">
        <v>213</v>
      </c>
      <c r="F127" s="70" t="s">
        <v>214</v>
      </c>
    </row>
    <row r="128" spans="1:12" x14ac:dyDescent="0.25">
      <c r="C128" s="76" t="s">
        <v>207</v>
      </c>
      <c r="D128" s="69" t="s">
        <v>208</v>
      </c>
      <c r="E128" s="6" t="s">
        <v>209</v>
      </c>
      <c r="F128" s="6" t="s">
        <v>210</v>
      </c>
    </row>
    <row r="129" spans="3:6" x14ac:dyDescent="0.25">
      <c r="C129" s="75">
        <v>28</v>
      </c>
      <c r="D129" s="77">
        <v>63</v>
      </c>
      <c r="E129" s="70">
        <v>4</v>
      </c>
      <c r="F129" s="70">
        <v>5</v>
      </c>
    </row>
  </sheetData>
  <mergeCells count="18">
    <mergeCell ref="A47:L47"/>
    <mergeCell ref="A87:L87"/>
    <mergeCell ref="B125:G125"/>
    <mergeCell ref="C126:F126"/>
    <mergeCell ref="C83:F83"/>
    <mergeCell ref="A1:L1"/>
    <mergeCell ref="A2:L2"/>
    <mergeCell ref="A4:L4"/>
    <mergeCell ref="A123:B123"/>
    <mergeCell ref="H7:L7"/>
    <mergeCell ref="A89:B90"/>
    <mergeCell ref="K5:L5"/>
    <mergeCell ref="A41:B41"/>
    <mergeCell ref="A49:B49"/>
    <mergeCell ref="A8:B8"/>
    <mergeCell ref="G89:L89"/>
    <mergeCell ref="K48:L48"/>
    <mergeCell ref="C89:F89"/>
  </mergeCells>
  <pageMargins left="0.7" right="0.7" top="0.75" bottom="0.75" header="0.3" footer="0.3"/>
  <pageSetup scale="45" orientation="landscape" r:id="rId1"/>
  <headerFooter>
    <oddHeader>&amp;CRamo 33 Fondo de Aportaciones para los Servicios de Salud para el Ejercicio Fiscal 2014
Componente 2</oddHeader>
    <oddFooter>&amp;L&amp;F&amp;C&amp;P&amp;R&amp;D</oddFooter>
  </headerFooter>
  <rowBreaks count="2" manualBreakCount="2">
    <brk id="43" max="12" man="1"/>
    <brk id="83" max="12" man="1"/>
  </rowBreaks>
  <ignoredErrors>
    <ignoredError sqref="I8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50"/>
  <sheetViews>
    <sheetView tabSelected="1" workbookViewId="0">
      <selection activeCell="D37" sqref="D37"/>
    </sheetView>
  </sheetViews>
  <sheetFormatPr baseColWidth="10" defaultRowHeight="15" x14ac:dyDescent="0.25"/>
  <cols>
    <col min="1" max="1" width="4.140625" customWidth="1"/>
    <col min="2" max="2" width="19" bestFit="1" customWidth="1"/>
    <col min="3" max="3" width="12.7109375" bestFit="1" customWidth="1"/>
    <col min="4" max="4" width="12.85546875" customWidth="1"/>
    <col min="5" max="5" width="13.28515625" bestFit="1" customWidth="1"/>
    <col min="6" max="6" width="12.42578125" customWidth="1"/>
    <col min="7" max="7" width="11.5703125" customWidth="1"/>
    <col min="8" max="8" width="11.140625" customWidth="1"/>
    <col min="9" max="9" width="12.7109375" bestFit="1" customWidth="1"/>
    <col min="10" max="10" width="12.28515625" customWidth="1"/>
    <col min="11" max="11" width="12.5703125" customWidth="1"/>
    <col min="12" max="12" width="12.42578125" customWidth="1"/>
    <col min="13" max="14" width="11.42578125" customWidth="1"/>
    <col min="15" max="15" width="12.5703125" customWidth="1"/>
    <col min="16" max="16" width="12.42578125" customWidth="1"/>
    <col min="17" max="18" width="12.28515625" customWidth="1"/>
    <col min="19" max="19" width="11.140625" customWidth="1"/>
    <col min="20" max="20" width="11.42578125" customWidth="1"/>
    <col min="21" max="21" width="12.42578125" customWidth="1"/>
    <col min="22" max="22" width="12.140625" customWidth="1"/>
    <col min="23" max="23" width="12.28515625" customWidth="1"/>
    <col min="24" max="24" width="12.7109375" customWidth="1"/>
    <col min="25" max="25" width="11.42578125" customWidth="1"/>
    <col min="26" max="26" width="11.28515625" customWidth="1"/>
    <col min="27" max="27" width="11.85546875" customWidth="1"/>
    <col min="28" max="28" width="11.7109375" customWidth="1"/>
    <col min="29" max="29" width="12.42578125" customWidth="1"/>
    <col min="30" max="30" width="12.28515625" customWidth="1"/>
    <col min="31" max="32" width="11.42578125" customWidth="1"/>
    <col min="33" max="33" width="12" customWidth="1"/>
    <col min="34" max="34" width="12.140625" customWidth="1"/>
    <col min="35" max="35" width="12" customWidth="1"/>
    <col min="36" max="36" width="12.5703125" customWidth="1"/>
    <col min="37" max="37" width="11.85546875" customWidth="1"/>
    <col min="38" max="38" width="11.42578125" customWidth="1"/>
    <col min="39" max="39" width="13.140625" bestFit="1" customWidth="1"/>
    <col min="40" max="40" width="12.28515625" customWidth="1"/>
    <col min="41" max="42" width="12.140625" customWidth="1"/>
    <col min="43" max="43" width="11.42578125" customWidth="1"/>
    <col min="44" max="44" width="11.5703125" customWidth="1"/>
    <col min="45" max="45" width="3.85546875" customWidth="1"/>
    <col min="46" max="46" width="12.28515625" bestFit="1" customWidth="1"/>
    <col min="47" max="48" width="12" bestFit="1" customWidth="1"/>
  </cols>
  <sheetData>
    <row r="1" spans="1:89" ht="23.25" x14ac:dyDescent="0.35">
      <c r="A1" s="277" t="s">
        <v>271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</row>
    <row r="2" spans="1:89" ht="21" x14ac:dyDescent="0.35">
      <c r="A2" s="280" t="s">
        <v>250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V2" s="83" t="s">
        <v>193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</row>
    <row r="3" spans="1:89" x14ac:dyDescent="0.25">
      <c r="A3" s="82"/>
      <c r="B3" s="82"/>
      <c r="C3" s="281" t="s">
        <v>193</v>
      </c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T3" s="276" t="s">
        <v>270</v>
      </c>
      <c r="AU3" s="276"/>
      <c r="AV3" s="276"/>
    </row>
    <row r="4" spans="1:89" x14ac:dyDescent="0.25">
      <c r="A4" s="119" t="s">
        <v>234</v>
      </c>
      <c r="B4" s="120" t="s">
        <v>192</v>
      </c>
      <c r="C4" s="78" t="s">
        <v>235</v>
      </c>
      <c r="D4" s="121" t="s">
        <v>242</v>
      </c>
      <c r="E4" s="121" t="s">
        <v>211</v>
      </c>
      <c r="F4" s="121" t="s">
        <v>212</v>
      </c>
      <c r="G4" s="121" t="s">
        <v>213</v>
      </c>
      <c r="H4" s="121" t="s">
        <v>214</v>
      </c>
      <c r="I4" s="78" t="s">
        <v>236</v>
      </c>
      <c r="J4" s="121" t="s">
        <v>244</v>
      </c>
      <c r="K4" s="121" t="s">
        <v>211</v>
      </c>
      <c r="L4" s="121" t="s">
        <v>212</v>
      </c>
      <c r="M4" s="121" t="s">
        <v>213</v>
      </c>
      <c r="N4" s="121" t="s">
        <v>214</v>
      </c>
      <c r="O4" s="78" t="s">
        <v>237</v>
      </c>
      <c r="P4" s="121" t="s">
        <v>245</v>
      </c>
      <c r="Q4" s="121" t="s">
        <v>211</v>
      </c>
      <c r="R4" s="121" t="s">
        <v>212</v>
      </c>
      <c r="S4" s="121" t="s">
        <v>213</v>
      </c>
      <c r="T4" s="121" t="s">
        <v>214</v>
      </c>
      <c r="U4" s="78" t="s">
        <v>238</v>
      </c>
      <c r="V4" s="121" t="s">
        <v>246</v>
      </c>
      <c r="W4" s="121" t="s">
        <v>211</v>
      </c>
      <c r="X4" s="121" t="s">
        <v>212</v>
      </c>
      <c r="Y4" s="121" t="s">
        <v>213</v>
      </c>
      <c r="Z4" s="121" t="s">
        <v>214</v>
      </c>
      <c r="AA4" s="78" t="s">
        <v>239</v>
      </c>
      <c r="AB4" s="121" t="s">
        <v>247</v>
      </c>
      <c r="AC4" s="121" t="s">
        <v>211</v>
      </c>
      <c r="AD4" s="121" t="s">
        <v>212</v>
      </c>
      <c r="AE4" s="121" t="s">
        <v>213</v>
      </c>
      <c r="AF4" s="121" t="s">
        <v>214</v>
      </c>
      <c r="AG4" s="78" t="s">
        <v>240</v>
      </c>
      <c r="AH4" s="121" t="s">
        <v>248</v>
      </c>
      <c r="AI4" s="121" t="s">
        <v>211</v>
      </c>
      <c r="AJ4" s="121" t="s">
        <v>212</v>
      </c>
      <c r="AK4" s="121" t="s">
        <v>213</v>
      </c>
      <c r="AL4" s="121" t="s">
        <v>214</v>
      </c>
      <c r="AM4" s="78" t="s">
        <v>241</v>
      </c>
      <c r="AN4" s="121" t="s">
        <v>249</v>
      </c>
      <c r="AO4" s="121" t="s">
        <v>211</v>
      </c>
      <c r="AP4" s="121" t="s">
        <v>212</v>
      </c>
      <c r="AQ4" s="121" t="s">
        <v>213</v>
      </c>
      <c r="AR4" s="121" t="s">
        <v>214</v>
      </c>
      <c r="AT4" s="123">
        <v>2016</v>
      </c>
      <c r="AU4" s="123">
        <v>2017</v>
      </c>
      <c r="AV4" s="123">
        <v>2018</v>
      </c>
    </row>
    <row r="5" spans="1:89" x14ac:dyDescent="0.25">
      <c r="A5" s="114">
        <v>1</v>
      </c>
      <c r="B5" s="115" t="s">
        <v>93</v>
      </c>
      <c r="C5" s="116">
        <v>786965.1</v>
      </c>
      <c r="D5" s="117">
        <f>E5+F5+G5+H5</f>
        <v>698074.147</v>
      </c>
      <c r="E5" s="117">
        <v>189318.913</v>
      </c>
      <c r="F5" s="117">
        <v>457729.95500000002</v>
      </c>
      <c r="G5" s="117">
        <v>19146.116999999998</v>
      </c>
      <c r="H5" s="117">
        <v>31879.162</v>
      </c>
      <c r="I5" s="116">
        <v>900513.1</v>
      </c>
      <c r="J5" s="117">
        <f>K5+L5+M5+N5</f>
        <v>870057.69600000011</v>
      </c>
      <c r="K5" s="117">
        <v>200033.26500000001</v>
      </c>
      <c r="L5" s="117">
        <v>615259.89800000004</v>
      </c>
      <c r="M5" s="117">
        <v>20450.483</v>
      </c>
      <c r="N5" s="117">
        <v>34314.050000000003</v>
      </c>
      <c r="O5" s="116">
        <v>1014167.74</v>
      </c>
      <c r="P5" s="117">
        <f>Q5+R5+S5+T5</f>
        <v>918661.9800000001</v>
      </c>
      <c r="Q5" s="117">
        <v>211730.96599999999</v>
      </c>
      <c r="R5" s="117">
        <v>648797.55700000003</v>
      </c>
      <c r="S5" s="117">
        <v>21792.796999999999</v>
      </c>
      <c r="T5" s="117">
        <v>36340.660000000003</v>
      </c>
      <c r="U5" s="116">
        <v>1107715.76</v>
      </c>
      <c r="V5" s="116">
        <f>W5+X5+Y5+Z5</f>
        <v>1050714.7720000001</v>
      </c>
      <c r="W5" s="116">
        <v>245065.163</v>
      </c>
      <c r="X5" s="116">
        <v>744370.77800000005</v>
      </c>
      <c r="Y5" s="116">
        <v>22972.071</v>
      </c>
      <c r="Z5" s="116">
        <v>38306.76</v>
      </c>
      <c r="AA5" s="116">
        <v>1178363.2960000001</v>
      </c>
      <c r="AB5" s="116">
        <f>AC5+AD5+AE5+AF5</f>
        <v>1178363.2960000001</v>
      </c>
      <c r="AC5" s="116">
        <v>262386.44300000003</v>
      </c>
      <c r="AD5" s="116">
        <v>832160.38</v>
      </c>
      <c r="AE5" s="116">
        <v>23853.989000000001</v>
      </c>
      <c r="AF5" s="116">
        <v>59962.483999999997</v>
      </c>
      <c r="AG5" s="116">
        <v>1250514.2760000001</v>
      </c>
      <c r="AH5" s="116">
        <f>AI5+AJ5+AK5+AL5</f>
        <v>1250514.2759999998</v>
      </c>
      <c r="AI5" s="116">
        <v>318662.59600000002</v>
      </c>
      <c r="AJ5" s="116">
        <v>826520.97699999996</v>
      </c>
      <c r="AK5" s="116">
        <v>38871.004999999997</v>
      </c>
      <c r="AL5" s="116">
        <v>66459.698000000004</v>
      </c>
      <c r="AM5" s="122">
        <v>1294532.3785152</v>
      </c>
      <c r="AN5" s="116">
        <f>AO5+AP5+AQ5+AR5</f>
        <v>1359567.8250000002</v>
      </c>
      <c r="AO5" s="116">
        <v>371835.234</v>
      </c>
      <c r="AP5" s="116">
        <v>870851.41099999996</v>
      </c>
      <c r="AQ5" s="116">
        <v>45886.038999999997</v>
      </c>
      <c r="AR5" s="116">
        <v>70995.141000000003</v>
      </c>
      <c r="AT5" s="122">
        <v>1340099.9182389348</v>
      </c>
      <c r="AU5" s="122">
        <v>1387271.4353609451</v>
      </c>
      <c r="AV5" s="122">
        <v>1436103.3898856502</v>
      </c>
    </row>
    <row r="6" spans="1:89" x14ac:dyDescent="0.25">
      <c r="A6" s="114">
        <v>2</v>
      </c>
      <c r="B6" s="115" t="s">
        <v>95</v>
      </c>
      <c r="C6" s="116">
        <v>1035862.87</v>
      </c>
      <c r="D6" s="117">
        <f t="shared" ref="D6:D36" si="0">E6+F6+G6+H6</f>
        <v>1044064.4849999999</v>
      </c>
      <c r="E6" s="117">
        <v>279457.99599999998</v>
      </c>
      <c r="F6" s="117">
        <v>660341.201</v>
      </c>
      <c r="G6" s="117">
        <v>28367.851999999999</v>
      </c>
      <c r="H6" s="117">
        <v>75897.436000000002</v>
      </c>
      <c r="I6" s="116">
        <v>1128160.58</v>
      </c>
      <c r="J6" s="117">
        <f t="shared" ref="J6:J36" si="1">K6+L6+M6+N6</f>
        <v>1146222.6679999998</v>
      </c>
      <c r="K6" s="117">
        <v>292851.89500000002</v>
      </c>
      <c r="L6" s="117">
        <v>738632.43299999996</v>
      </c>
      <c r="M6" s="117">
        <v>30300.913</v>
      </c>
      <c r="N6" s="117">
        <v>84437.426999999996</v>
      </c>
      <c r="O6" s="116">
        <v>1301223.25</v>
      </c>
      <c r="P6" s="117">
        <f t="shared" ref="P6:P36" si="2">Q6+R6+S6+T6</f>
        <v>1210616.362</v>
      </c>
      <c r="Q6" s="117">
        <v>309342.96399999998</v>
      </c>
      <c r="R6" s="117">
        <v>781011.99899999995</v>
      </c>
      <c r="S6" s="117">
        <v>32034.736000000001</v>
      </c>
      <c r="T6" s="117">
        <v>88226.663</v>
      </c>
      <c r="U6" s="116">
        <v>1550101.8</v>
      </c>
      <c r="V6" s="116">
        <f t="shared" ref="V6:V36" si="3">W6+X6+Y6+Z6</f>
        <v>1377119.885</v>
      </c>
      <c r="W6" s="116">
        <v>327609.663</v>
      </c>
      <c r="X6" s="116">
        <v>942799.85699999996</v>
      </c>
      <c r="Y6" s="116">
        <v>33602.322</v>
      </c>
      <c r="Z6" s="116">
        <v>73108.043000000005</v>
      </c>
      <c r="AA6" s="116">
        <v>1584703.274</v>
      </c>
      <c r="AB6" s="116">
        <f t="shared" ref="AB6:AB36" si="4">AC6+AD6+AE6+AF6</f>
        <v>1584703.2740000002</v>
      </c>
      <c r="AC6" s="116">
        <v>341885.93400000001</v>
      </c>
      <c r="AD6" s="116">
        <v>1131969.8770000001</v>
      </c>
      <c r="AE6" s="116">
        <v>35115.309000000001</v>
      </c>
      <c r="AF6" s="116">
        <v>75732.153999999995</v>
      </c>
      <c r="AG6" s="116">
        <v>1680466.452</v>
      </c>
      <c r="AH6" s="116">
        <f t="shared" ref="AH6:AH36" si="5">AI6+AJ6+AK6+AL6</f>
        <v>1680466.452</v>
      </c>
      <c r="AI6" s="116">
        <v>387093.31</v>
      </c>
      <c r="AJ6" s="116">
        <v>1140443.8</v>
      </c>
      <c r="AK6" s="116">
        <v>39763.726000000002</v>
      </c>
      <c r="AL6" s="116">
        <v>113165.61599999999</v>
      </c>
      <c r="AM6" s="122">
        <v>1739618.8711103997</v>
      </c>
      <c r="AN6" s="116">
        <f t="shared" ref="AN6:AN36" si="6">AO6+AP6+AQ6+AR6</f>
        <v>1825834.5060000001</v>
      </c>
      <c r="AO6" s="116">
        <v>437667.505</v>
      </c>
      <c r="AP6" s="116">
        <v>1127122.905</v>
      </c>
      <c r="AQ6" s="116">
        <v>43380.834000000003</v>
      </c>
      <c r="AR6" s="116">
        <v>217663.26199999999</v>
      </c>
      <c r="AT6" s="122">
        <v>1800853.4553734858</v>
      </c>
      <c r="AU6" s="122">
        <v>1864243.4970026324</v>
      </c>
      <c r="AV6" s="122">
        <v>1929864.8680971251</v>
      </c>
    </row>
    <row r="7" spans="1:89" x14ac:dyDescent="0.25">
      <c r="A7" s="114">
        <v>3</v>
      </c>
      <c r="B7" s="115" t="s">
        <v>97</v>
      </c>
      <c r="C7" s="116">
        <v>518487.75</v>
      </c>
      <c r="D7" s="117">
        <f t="shared" si="0"/>
        <v>503287.07100000005</v>
      </c>
      <c r="E7" s="117">
        <v>131381.88099999999</v>
      </c>
      <c r="F7" s="117">
        <v>331924.28600000002</v>
      </c>
      <c r="G7" s="117">
        <v>15393.134</v>
      </c>
      <c r="H7" s="117">
        <v>24587.77</v>
      </c>
      <c r="I7" s="116">
        <v>559405.81000000006</v>
      </c>
      <c r="J7" s="117">
        <f t="shared" si="1"/>
        <v>557393.13400000008</v>
      </c>
      <c r="K7" s="117">
        <v>140104.65400000001</v>
      </c>
      <c r="L7" s="117">
        <v>374468.02799999999</v>
      </c>
      <c r="M7" s="117">
        <v>16416.867999999999</v>
      </c>
      <c r="N7" s="117">
        <v>26403.583999999999</v>
      </c>
      <c r="O7" s="116">
        <v>636733.01</v>
      </c>
      <c r="P7" s="117">
        <f t="shared" si="2"/>
        <v>583637.72200000007</v>
      </c>
      <c r="Q7" s="117">
        <v>148038.54800000001</v>
      </c>
      <c r="R7" s="117">
        <v>390774.79100000003</v>
      </c>
      <c r="S7" s="117">
        <v>17179.647000000001</v>
      </c>
      <c r="T7" s="117">
        <v>27644.736000000001</v>
      </c>
      <c r="U7" s="116">
        <v>743017.83</v>
      </c>
      <c r="V7" s="116">
        <f t="shared" si="3"/>
        <v>658958.34000000008</v>
      </c>
      <c r="W7" s="116">
        <v>159591.52299999999</v>
      </c>
      <c r="X7" s="116">
        <v>448107.83799999999</v>
      </c>
      <c r="Y7" s="116">
        <v>17981.577000000001</v>
      </c>
      <c r="Z7" s="116">
        <v>33277.402000000002</v>
      </c>
      <c r="AA7" s="116">
        <v>760848.39500000002</v>
      </c>
      <c r="AB7" s="116">
        <f t="shared" si="4"/>
        <v>760848.39500000002</v>
      </c>
      <c r="AC7" s="116">
        <v>169363.80900000001</v>
      </c>
      <c r="AD7" s="116">
        <v>534576.03099999996</v>
      </c>
      <c r="AE7" s="116">
        <v>22246.413</v>
      </c>
      <c r="AF7" s="116">
        <v>34662.142</v>
      </c>
      <c r="AG7" s="116">
        <v>803942.56499999994</v>
      </c>
      <c r="AH7" s="116">
        <f t="shared" si="5"/>
        <v>803942.56500000006</v>
      </c>
      <c r="AI7" s="116">
        <v>190181.17</v>
      </c>
      <c r="AJ7" s="116">
        <v>547655.21799999999</v>
      </c>
      <c r="AK7" s="116">
        <v>25623.699000000001</v>
      </c>
      <c r="AL7" s="116">
        <v>40482.478000000003</v>
      </c>
      <c r="AM7" s="122">
        <v>832241.34328799997</v>
      </c>
      <c r="AN7" s="116">
        <f t="shared" si="6"/>
        <v>871222.64199999988</v>
      </c>
      <c r="AO7" s="116">
        <v>215587.90400000001</v>
      </c>
      <c r="AP7" s="116">
        <v>585038.41599999997</v>
      </c>
      <c r="AQ7" s="116">
        <v>25374.717000000001</v>
      </c>
      <c r="AR7" s="116">
        <v>45221.605000000003</v>
      </c>
      <c r="AT7" s="122">
        <v>861536.23857173754</v>
      </c>
      <c r="AU7" s="122">
        <v>891862.31416946254</v>
      </c>
      <c r="AV7" s="122">
        <v>923255.86762822745</v>
      </c>
    </row>
    <row r="8" spans="1:89" x14ac:dyDescent="0.25">
      <c r="A8" s="114">
        <v>4</v>
      </c>
      <c r="B8" s="115" t="s">
        <v>99</v>
      </c>
      <c r="C8" s="116">
        <v>827781</v>
      </c>
      <c r="D8" s="117">
        <f t="shared" si="0"/>
        <v>787167.94599999988</v>
      </c>
      <c r="E8" s="117">
        <v>210434.93400000001</v>
      </c>
      <c r="F8" s="117">
        <v>508568.17800000001</v>
      </c>
      <c r="G8" s="117">
        <v>28300.499</v>
      </c>
      <c r="H8" s="117">
        <v>39864.334999999999</v>
      </c>
      <c r="I8" s="116">
        <v>891790</v>
      </c>
      <c r="J8" s="117">
        <f t="shared" si="1"/>
        <v>891790.27800000005</v>
      </c>
      <c r="K8" s="117">
        <v>222546.37</v>
      </c>
      <c r="L8" s="117">
        <v>596320.41</v>
      </c>
      <c r="M8" s="117">
        <v>30820.958999999999</v>
      </c>
      <c r="N8" s="117">
        <v>42102.538999999997</v>
      </c>
      <c r="O8" s="116">
        <v>997935</v>
      </c>
      <c r="P8" s="117">
        <f t="shared" si="2"/>
        <v>929511.57400000002</v>
      </c>
      <c r="Q8" s="117">
        <v>230953.89499999999</v>
      </c>
      <c r="R8" s="117">
        <v>622376.53700000001</v>
      </c>
      <c r="S8" s="117">
        <v>31735.550999999999</v>
      </c>
      <c r="T8" s="117">
        <v>44445.591</v>
      </c>
      <c r="U8" s="116">
        <v>1123379</v>
      </c>
      <c r="V8" s="116">
        <f t="shared" si="3"/>
        <v>1037968.9909999999</v>
      </c>
      <c r="W8" s="116">
        <v>279151.21299999999</v>
      </c>
      <c r="X8" s="116">
        <v>676824.679</v>
      </c>
      <c r="Y8" s="116">
        <v>34521.374000000003</v>
      </c>
      <c r="Z8" s="116">
        <v>47471.724999999999</v>
      </c>
      <c r="AA8" s="116">
        <v>1142939.8330000001</v>
      </c>
      <c r="AB8" s="116">
        <f t="shared" si="4"/>
        <v>1142939.8330000001</v>
      </c>
      <c r="AC8" s="116">
        <v>316566.08</v>
      </c>
      <c r="AD8" s="116">
        <v>721708.55299999996</v>
      </c>
      <c r="AE8" s="116">
        <v>43358.940999999999</v>
      </c>
      <c r="AF8" s="116">
        <v>61306.258999999998</v>
      </c>
      <c r="AG8" s="116">
        <v>1208771.699</v>
      </c>
      <c r="AH8" s="116">
        <f t="shared" si="5"/>
        <v>1208771.699</v>
      </c>
      <c r="AI8" s="116">
        <v>340232.04800000001</v>
      </c>
      <c r="AJ8" s="116">
        <v>749065.22199999995</v>
      </c>
      <c r="AK8" s="116">
        <v>49068.682999999997</v>
      </c>
      <c r="AL8" s="116">
        <v>70405.745999999999</v>
      </c>
      <c r="AM8" s="122">
        <v>1251320.4628047999</v>
      </c>
      <c r="AN8" s="116">
        <f t="shared" si="6"/>
        <v>1297116.2480000001</v>
      </c>
      <c r="AO8" s="116">
        <v>374350.60600000003</v>
      </c>
      <c r="AP8" s="116">
        <v>812615.18200000003</v>
      </c>
      <c r="AQ8" s="116">
        <v>43302.135999999999</v>
      </c>
      <c r="AR8" s="116">
        <v>66848.323999999993</v>
      </c>
      <c r="AT8" s="122">
        <v>1295366.9430955288</v>
      </c>
      <c r="AU8" s="122">
        <v>1340963.8594924912</v>
      </c>
      <c r="AV8" s="122">
        <v>1388165.7873466269</v>
      </c>
    </row>
    <row r="9" spans="1:89" x14ac:dyDescent="0.25">
      <c r="A9" s="114">
        <v>5</v>
      </c>
      <c r="B9" s="115" t="s">
        <v>101</v>
      </c>
      <c r="C9" s="116">
        <v>852668</v>
      </c>
      <c r="D9" s="117">
        <f t="shared" si="0"/>
        <v>945703.83699999994</v>
      </c>
      <c r="E9" s="117">
        <v>260382.80499999999</v>
      </c>
      <c r="F9" s="117">
        <v>608145.78</v>
      </c>
      <c r="G9" s="117">
        <v>29724.035</v>
      </c>
      <c r="H9" s="117">
        <v>47451.216999999997</v>
      </c>
      <c r="I9" s="116">
        <v>903816</v>
      </c>
      <c r="J9" s="117">
        <f t="shared" si="1"/>
        <v>1002631.321</v>
      </c>
      <c r="K9" s="117">
        <v>275776.19199999998</v>
      </c>
      <c r="L9" s="117">
        <v>645681.46100000001</v>
      </c>
      <c r="M9" s="117">
        <v>30429.64</v>
      </c>
      <c r="N9" s="117">
        <v>50744.027999999998</v>
      </c>
      <c r="O9" s="116">
        <v>993412.13</v>
      </c>
      <c r="P9" s="117">
        <f t="shared" si="2"/>
        <v>1055043.527</v>
      </c>
      <c r="Q9" s="117">
        <v>293174.30099999998</v>
      </c>
      <c r="R9" s="117">
        <v>676283.22699999996</v>
      </c>
      <c r="S9" s="117">
        <v>32336.684000000001</v>
      </c>
      <c r="T9" s="117">
        <v>53249.315000000002</v>
      </c>
      <c r="U9" s="116">
        <v>1151307.98</v>
      </c>
      <c r="V9" s="116">
        <f t="shared" si="3"/>
        <v>1212514.5489999999</v>
      </c>
      <c r="W9" s="116">
        <v>306184.141</v>
      </c>
      <c r="X9" s="116">
        <v>817001.33900000004</v>
      </c>
      <c r="Y9" s="116">
        <v>33750.362999999998</v>
      </c>
      <c r="Z9" s="116">
        <v>55578.705999999998</v>
      </c>
      <c r="AA9" s="116">
        <v>1324634.74</v>
      </c>
      <c r="AB9" s="116">
        <f t="shared" si="4"/>
        <v>1324634.74</v>
      </c>
      <c r="AC9" s="116">
        <v>323216.18800000002</v>
      </c>
      <c r="AD9" s="116">
        <v>903904.522</v>
      </c>
      <c r="AE9" s="116">
        <v>38704.156000000003</v>
      </c>
      <c r="AF9" s="116">
        <v>58809.874000000003</v>
      </c>
      <c r="AG9" s="116">
        <v>1400236.6529999999</v>
      </c>
      <c r="AH9" s="116">
        <f t="shared" si="5"/>
        <v>1400236.6529999999</v>
      </c>
      <c r="AI9" s="116">
        <v>350667.77799999999</v>
      </c>
      <c r="AJ9" s="116">
        <v>928401.44200000004</v>
      </c>
      <c r="AK9" s="116">
        <v>51406.79</v>
      </c>
      <c r="AL9" s="116">
        <v>69760.642999999996</v>
      </c>
      <c r="AM9" s="122">
        <v>1449524.9831855998</v>
      </c>
      <c r="AN9" s="116">
        <f t="shared" si="6"/>
        <v>1515368.4249999998</v>
      </c>
      <c r="AO9" s="116">
        <v>386233.08600000001</v>
      </c>
      <c r="AP9" s="116">
        <v>971632.73499999999</v>
      </c>
      <c r="AQ9" s="116">
        <v>92670.14</v>
      </c>
      <c r="AR9" s="116">
        <v>64832.464</v>
      </c>
      <c r="AT9" s="122">
        <v>1500548.2625937329</v>
      </c>
      <c r="AU9" s="122">
        <v>1553367.5614370322</v>
      </c>
      <c r="AV9" s="122">
        <v>1608046.0995996154</v>
      </c>
    </row>
    <row r="10" spans="1:89" x14ac:dyDescent="0.25">
      <c r="A10" s="114">
        <v>6</v>
      </c>
      <c r="B10" s="115" t="s">
        <v>103</v>
      </c>
      <c r="C10" s="116">
        <v>701279.6</v>
      </c>
      <c r="D10" s="117">
        <f t="shared" si="0"/>
        <v>583779.56600000011</v>
      </c>
      <c r="E10" s="117">
        <v>163329.44899999999</v>
      </c>
      <c r="F10" s="117">
        <v>370332.74800000002</v>
      </c>
      <c r="G10" s="117">
        <v>20665.421999999999</v>
      </c>
      <c r="H10" s="117">
        <v>29451.947</v>
      </c>
      <c r="I10" s="116">
        <v>749109.3</v>
      </c>
      <c r="J10" s="117">
        <f t="shared" si="1"/>
        <v>749523.09500000009</v>
      </c>
      <c r="K10" s="117">
        <v>173035.79300000001</v>
      </c>
      <c r="L10" s="117">
        <v>524230.15600000002</v>
      </c>
      <c r="M10" s="117">
        <v>21908.589</v>
      </c>
      <c r="N10" s="117">
        <v>30348.557000000001</v>
      </c>
      <c r="O10" s="116">
        <v>861963.6</v>
      </c>
      <c r="P10" s="117">
        <f t="shared" si="2"/>
        <v>784778.522</v>
      </c>
      <c r="Q10" s="117">
        <v>180597.91099999999</v>
      </c>
      <c r="R10" s="117">
        <v>551352.83900000004</v>
      </c>
      <c r="S10" s="117">
        <v>20916.455999999998</v>
      </c>
      <c r="T10" s="117">
        <v>31911.315999999999</v>
      </c>
      <c r="U10" s="116">
        <v>1005516.8</v>
      </c>
      <c r="V10" s="116">
        <f t="shared" si="3"/>
        <v>898384.35899999994</v>
      </c>
      <c r="W10" s="116">
        <v>201445.255</v>
      </c>
      <c r="X10" s="116">
        <v>637581.43299999996</v>
      </c>
      <c r="Y10" s="116">
        <v>23782.957999999999</v>
      </c>
      <c r="Z10" s="116">
        <v>35574.713000000003</v>
      </c>
      <c r="AA10" s="116">
        <v>1020381.07</v>
      </c>
      <c r="AB10" s="116">
        <f t="shared" si="4"/>
        <v>1020381.07</v>
      </c>
      <c r="AC10" s="116">
        <v>195249.78099999999</v>
      </c>
      <c r="AD10" s="116">
        <v>754389.67599999998</v>
      </c>
      <c r="AE10" s="116">
        <v>25172.246999999999</v>
      </c>
      <c r="AF10" s="116">
        <v>45569.366000000002</v>
      </c>
      <c r="AG10" s="116">
        <v>1082955.2390000001</v>
      </c>
      <c r="AH10" s="116">
        <f t="shared" si="5"/>
        <v>1082955.2389999998</v>
      </c>
      <c r="AI10" s="116">
        <v>273704.72700000001</v>
      </c>
      <c r="AJ10" s="116">
        <v>724232.03799999994</v>
      </c>
      <c r="AK10" s="116">
        <v>34329.351999999999</v>
      </c>
      <c r="AL10" s="116">
        <v>50689.122000000003</v>
      </c>
      <c r="AM10" s="122">
        <v>1121075.2634128002</v>
      </c>
      <c r="AN10" s="116">
        <f t="shared" si="6"/>
        <v>1172573.9080000001</v>
      </c>
      <c r="AO10" s="116">
        <v>325525.33399999997</v>
      </c>
      <c r="AP10" s="116">
        <v>745366.51199999999</v>
      </c>
      <c r="AQ10" s="116">
        <v>38490.148000000001</v>
      </c>
      <c r="AR10" s="116">
        <v>63191.913999999997</v>
      </c>
      <c r="AT10" s="122">
        <v>1160537.1126849307</v>
      </c>
      <c r="AU10" s="122">
        <v>1201388.0190514398</v>
      </c>
      <c r="AV10" s="122">
        <v>1243676.8773220503</v>
      </c>
    </row>
    <row r="11" spans="1:89" x14ac:dyDescent="0.25">
      <c r="A11" s="114">
        <v>7</v>
      </c>
      <c r="B11" s="115" t="s">
        <v>105</v>
      </c>
      <c r="C11" s="116">
        <v>2139835.63</v>
      </c>
      <c r="D11" s="117">
        <f t="shared" si="0"/>
        <v>2342057.3159999996</v>
      </c>
      <c r="E11" s="117">
        <v>658339.95799999998</v>
      </c>
      <c r="F11" s="117">
        <v>1480209.6229999999</v>
      </c>
      <c r="G11" s="117">
        <v>69683.542000000001</v>
      </c>
      <c r="H11" s="117">
        <v>133824.193</v>
      </c>
      <c r="I11" s="116">
        <v>2229054.36</v>
      </c>
      <c r="J11" s="117">
        <f t="shared" si="1"/>
        <v>2476141.73</v>
      </c>
      <c r="K11" s="117">
        <v>699430.946</v>
      </c>
      <c r="L11" s="117">
        <v>1568526.422</v>
      </c>
      <c r="M11" s="117">
        <v>73068.574999999997</v>
      </c>
      <c r="N11" s="117">
        <v>135115.78700000001</v>
      </c>
      <c r="O11" s="116">
        <v>2515099.31</v>
      </c>
      <c r="P11" s="117">
        <f t="shared" si="2"/>
        <v>2590366.8089999999</v>
      </c>
      <c r="Q11" s="117">
        <v>733783.68700000003</v>
      </c>
      <c r="R11" s="117">
        <v>1627775.807</v>
      </c>
      <c r="S11" s="117">
        <v>75562.262000000002</v>
      </c>
      <c r="T11" s="117">
        <v>153245.05300000001</v>
      </c>
      <c r="U11" s="116">
        <v>2922075.38</v>
      </c>
      <c r="V11" s="116">
        <f t="shared" si="3"/>
        <v>2909862.0050000004</v>
      </c>
      <c r="W11" s="116">
        <v>761220.34100000001</v>
      </c>
      <c r="X11" s="116">
        <v>1795649.7120000001</v>
      </c>
      <c r="Y11" s="116">
        <v>79518.187999999995</v>
      </c>
      <c r="Z11" s="116">
        <v>273473.76400000002</v>
      </c>
      <c r="AA11" s="116">
        <v>3157293.5780000002</v>
      </c>
      <c r="AB11" s="116">
        <f t="shared" si="4"/>
        <v>3157293.5779999997</v>
      </c>
      <c r="AC11" s="116">
        <v>841075.39899999998</v>
      </c>
      <c r="AD11" s="116">
        <v>1958201.0020000001</v>
      </c>
      <c r="AE11" s="116">
        <v>82623.547000000006</v>
      </c>
      <c r="AF11" s="116">
        <v>275393.63</v>
      </c>
      <c r="AG11" s="116">
        <v>3365256.5210000002</v>
      </c>
      <c r="AH11" s="116">
        <f t="shared" si="5"/>
        <v>3365256.5209999997</v>
      </c>
      <c r="AI11" s="116">
        <v>899939.01800000004</v>
      </c>
      <c r="AJ11" s="116">
        <v>2071736.746</v>
      </c>
      <c r="AK11" s="116">
        <v>93990.368000000002</v>
      </c>
      <c r="AL11" s="116">
        <v>299590.38900000002</v>
      </c>
      <c r="AM11" s="122">
        <v>3483713.5505391997</v>
      </c>
      <c r="AN11" s="116">
        <f t="shared" si="6"/>
        <v>3611409.9069999997</v>
      </c>
      <c r="AO11" s="116">
        <v>972382.68299999996</v>
      </c>
      <c r="AP11" s="116">
        <v>2161910.65</v>
      </c>
      <c r="AQ11" s="116">
        <v>108022.981</v>
      </c>
      <c r="AR11" s="116">
        <v>369093.59299999999</v>
      </c>
      <c r="AT11" s="122">
        <v>3606340.2675181795</v>
      </c>
      <c r="AU11" s="122">
        <v>3733283.4449348198</v>
      </c>
      <c r="AV11" s="122">
        <v>3864695.0221965243</v>
      </c>
    </row>
    <row r="12" spans="1:89" x14ac:dyDescent="0.25">
      <c r="A12" s="114">
        <v>8</v>
      </c>
      <c r="B12" s="115" t="s">
        <v>107</v>
      </c>
      <c r="C12" s="116">
        <v>1320872</v>
      </c>
      <c r="D12" s="117">
        <f t="shared" si="0"/>
        <v>1321061.1539999999</v>
      </c>
      <c r="E12" s="117">
        <v>372495.04499999998</v>
      </c>
      <c r="F12" s="117">
        <v>843411.45600000001</v>
      </c>
      <c r="G12" s="117">
        <v>36403.474000000002</v>
      </c>
      <c r="H12" s="117">
        <v>68751.179000000004</v>
      </c>
      <c r="I12" s="116">
        <v>1393226</v>
      </c>
      <c r="J12" s="117">
        <f t="shared" si="1"/>
        <v>1393225.8419999999</v>
      </c>
      <c r="K12" s="117">
        <v>383384.20600000001</v>
      </c>
      <c r="L12" s="117">
        <v>897860.27099999995</v>
      </c>
      <c r="M12" s="117">
        <v>38863.53</v>
      </c>
      <c r="N12" s="117">
        <v>73117.835000000006</v>
      </c>
      <c r="O12" s="116">
        <v>1560789</v>
      </c>
      <c r="P12" s="117">
        <f t="shared" si="2"/>
        <v>1466215.118</v>
      </c>
      <c r="Q12" s="117">
        <v>402868.06300000002</v>
      </c>
      <c r="R12" s="117">
        <v>945734.34499999997</v>
      </c>
      <c r="S12" s="117">
        <v>40893</v>
      </c>
      <c r="T12" s="117">
        <v>76719.710000000006</v>
      </c>
      <c r="U12" s="116">
        <v>1718651</v>
      </c>
      <c r="V12" s="116">
        <f t="shared" si="3"/>
        <v>1620356.2049999998</v>
      </c>
      <c r="W12" s="116">
        <v>432700.40600000002</v>
      </c>
      <c r="X12" s="116">
        <v>1019755.618</v>
      </c>
      <c r="Y12" s="116">
        <v>42872.987999999998</v>
      </c>
      <c r="Z12" s="116">
        <v>125027.193</v>
      </c>
      <c r="AA12" s="116">
        <v>1758181.915</v>
      </c>
      <c r="AB12" s="116">
        <f t="shared" si="4"/>
        <v>1758181.915</v>
      </c>
      <c r="AC12" s="116">
        <v>446741.16800000001</v>
      </c>
      <c r="AD12" s="116">
        <v>1139387.703</v>
      </c>
      <c r="AE12" s="116">
        <v>44492.817000000003</v>
      </c>
      <c r="AF12" s="116">
        <v>127560.227</v>
      </c>
      <c r="AG12" s="116">
        <v>1860723.3770000001</v>
      </c>
      <c r="AH12" s="116">
        <f t="shared" si="5"/>
        <v>1860723.3769999999</v>
      </c>
      <c r="AI12" s="116">
        <v>475128.22499999998</v>
      </c>
      <c r="AJ12" s="116">
        <v>1199839.044</v>
      </c>
      <c r="AK12" s="116">
        <v>48805.482000000004</v>
      </c>
      <c r="AL12" s="116">
        <v>136950.62599999999</v>
      </c>
      <c r="AM12" s="122">
        <v>1926220.8398704</v>
      </c>
      <c r="AN12" s="116">
        <f t="shared" si="6"/>
        <v>2040050.5290000001</v>
      </c>
      <c r="AO12" s="116">
        <v>541191.93500000006</v>
      </c>
      <c r="AP12" s="116">
        <v>1336110.081</v>
      </c>
      <c r="AQ12" s="116">
        <v>54435.06</v>
      </c>
      <c r="AR12" s="116">
        <v>108313.45299999999</v>
      </c>
      <c r="AT12" s="122">
        <v>1994023.8134338376</v>
      </c>
      <c r="AU12" s="122">
        <v>2064213.451666709</v>
      </c>
      <c r="AV12" s="122">
        <v>2136873.7651653769</v>
      </c>
    </row>
    <row r="13" spans="1:89" x14ac:dyDescent="0.25">
      <c r="A13" s="114">
        <v>9</v>
      </c>
      <c r="B13" s="115" t="s">
        <v>109</v>
      </c>
      <c r="C13" s="116">
        <v>2566430.7999999998</v>
      </c>
      <c r="D13" s="117">
        <f t="shared" si="0"/>
        <v>2637084.588</v>
      </c>
      <c r="E13" s="117">
        <v>759806.63600000006</v>
      </c>
      <c r="F13" s="117">
        <v>1653067.977</v>
      </c>
      <c r="G13" s="117">
        <v>93680.796000000002</v>
      </c>
      <c r="H13" s="117">
        <v>130529.179</v>
      </c>
      <c r="I13" s="116">
        <v>2639380</v>
      </c>
      <c r="J13" s="117">
        <f t="shared" si="1"/>
        <v>2830462.4969999995</v>
      </c>
      <c r="K13" s="117">
        <v>733689.29799999995</v>
      </c>
      <c r="L13" s="117">
        <v>1752859.781</v>
      </c>
      <c r="M13" s="117">
        <v>90515.8</v>
      </c>
      <c r="N13" s="117">
        <v>253397.61799999999</v>
      </c>
      <c r="O13" s="116">
        <v>3291613.4</v>
      </c>
      <c r="P13" s="117">
        <f t="shared" si="2"/>
        <v>2976893.2179999999</v>
      </c>
      <c r="Q13" s="117">
        <v>778997.375</v>
      </c>
      <c r="R13" s="117">
        <v>1840639.5889999999</v>
      </c>
      <c r="S13" s="117">
        <v>100658.57799999999</v>
      </c>
      <c r="T13" s="117">
        <v>256597.67600000001</v>
      </c>
      <c r="U13" s="116">
        <v>3320603.34</v>
      </c>
      <c r="V13" s="116">
        <f t="shared" si="3"/>
        <v>3217398.38</v>
      </c>
      <c r="W13" s="116">
        <v>820104.23899999994</v>
      </c>
      <c r="X13" s="116">
        <v>2003135.4450000001</v>
      </c>
      <c r="Y13" s="116">
        <v>115737.57</v>
      </c>
      <c r="Z13" s="116">
        <v>278421.12599999999</v>
      </c>
      <c r="AA13" s="116">
        <v>3459968.8259999999</v>
      </c>
      <c r="AB13" s="116">
        <f t="shared" si="4"/>
        <v>3459968.8259999999</v>
      </c>
      <c r="AC13" s="116">
        <v>862617.8</v>
      </c>
      <c r="AD13" s="116">
        <v>2071146.0379999999</v>
      </c>
      <c r="AE13" s="116">
        <v>181607.834</v>
      </c>
      <c r="AF13" s="116">
        <v>344597.15399999998</v>
      </c>
      <c r="AG13" s="116">
        <v>3656942.497</v>
      </c>
      <c r="AH13" s="116">
        <f t="shared" si="5"/>
        <v>3656942.4970000004</v>
      </c>
      <c r="AI13" s="116">
        <v>892252.31200000003</v>
      </c>
      <c r="AJ13" s="116">
        <v>2178901.3220000002</v>
      </c>
      <c r="AK13" s="116">
        <v>162290.217</v>
      </c>
      <c r="AL13" s="116">
        <v>423498.64600000001</v>
      </c>
      <c r="AM13" s="122">
        <v>3785666.8728944003</v>
      </c>
      <c r="AN13" s="116">
        <f t="shared" si="6"/>
        <v>3840159.273</v>
      </c>
      <c r="AO13" s="116">
        <v>940103.696</v>
      </c>
      <c r="AP13" s="116">
        <v>2389230.986</v>
      </c>
      <c r="AQ13" s="116">
        <v>345475.71600000001</v>
      </c>
      <c r="AR13" s="116">
        <v>165348.875</v>
      </c>
      <c r="AT13" s="122">
        <v>3918922.3468202818</v>
      </c>
      <c r="AU13" s="122">
        <v>4056868.413428355</v>
      </c>
      <c r="AV13" s="122">
        <v>4199670.1815810334</v>
      </c>
    </row>
    <row r="14" spans="1:89" x14ac:dyDescent="0.25">
      <c r="A14" s="114">
        <v>10</v>
      </c>
      <c r="B14" s="115" t="s">
        <v>111</v>
      </c>
      <c r="C14" s="116">
        <v>1167313.93</v>
      </c>
      <c r="D14" s="117">
        <f t="shared" si="0"/>
        <v>1091493.6070000001</v>
      </c>
      <c r="E14" s="117">
        <v>277630.62599999999</v>
      </c>
      <c r="F14" s="117">
        <v>720124.52500000002</v>
      </c>
      <c r="G14" s="117">
        <v>40146.769</v>
      </c>
      <c r="H14" s="117">
        <v>53591.686999999998</v>
      </c>
      <c r="I14" s="116">
        <v>1238904.46</v>
      </c>
      <c r="J14" s="117">
        <f t="shared" si="1"/>
        <v>1179178.392</v>
      </c>
      <c r="K14" s="117">
        <v>304847.70500000002</v>
      </c>
      <c r="L14" s="117">
        <v>768858.08799999999</v>
      </c>
      <c r="M14" s="117">
        <v>42443.807999999997</v>
      </c>
      <c r="N14" s="117">
        <v>63028.790999999997</v>
      </c>
      <c r="O14" s="116">
        <v>1415937.31</v>
      </c>
      <c r="P14" s="117">
        <f t="shared" si="2"/>
        <v>1232232.6240000001</v>
      </c>
      <c r="Q14" s="117">
        <v>315897.02799999999</v>
      </c>
      <c r="R14" s="117">
        <v>796280.61100000003</v>
      </c>
      <c r="S14" s="117">
        <v>45941.34</v>
      </c>
      <c r="T14" s="117">
        <v>74113.645000000004</v>
      </c>
      <c r="U14" s="116">
        <v>1502390.48</v>
      </c>
      <c r="V14" s="116">
        <f t="shared" si="3"/>
        <v>1389433.8540000001</v>
      </c>
      <c r="W14" s="116">
        <v>344165.30499999999</v>
      </c>
      <c r="X14" s="116">
        <v>889347.10699999996</v>
      </c>
      <c r="Y14" s="116">
        <v>52040.995000000003</v>
      </c>
      <c r="Z14" s="116">
        <v>103880.447</v>
      </c>
      <c r="AA14" s="116">
        <v>1537326.1640000001</v>
      </c>
      <c r="AB14" s="116">
        <f t="shared" si="4"/>
        <v>1537326.1639999999</v>
      </c>
      <c r="AC14" s="116">
        <v>374197.86099999998</v>
      </c>
      <c r="AD14" s="116">
        <v>1023389.965</v>
      </c>
      <c r="AE14" s="116">
        <v>54886.362999999998</v>
      </c>
      <c r="AF14" s="116">
        <v>84851.975000000006</v>
      </c>
      <c r="AG14" s="116">
        <v>1624039.385</v>
      </c>
      <c r="AH14" s="116">
        <f t="shared" si="5"/>
        <v>1624039.3850000002</v>
      </c>
      <c r="AI14" s="116">
        <v>388985.07900000003</v>
      </c>
      <c r="AJ14" s="116">
        <v>1079497.82</v>
      </c>
      <c r="AK14" s="116">
        <v>63859.99</v>
      </c>
      <c r="AL14" s="116">
        <v>91696.495999999999</v>
      </c>
      <c r="AM14" s="122">
        <v>1681205.5713519996</v>
      </c>
      <c r="AN14" s="116">
        <f t="shared" si="6"/>
        <v>1748897.6809999999</v>
      </c>
      <c r="AO14" s="116">
        <v>428762.32799999998</v>
      </c>
      <c r="AP14" s="116">
        <v>1154370.1459999999</v>
      </c>
      <c r="AQ14" s="116">
        <v>68571.67</v>
      </c>
      <c r="AR14" s="116">
        <v>97193.536999999997</v>
      </c>
      <c r="AT14" s="122">
        <v>1740384.0074635902</v>
      </c>
      <c r="AU14" s="122">
        <v>1801645.5245263083</v>
      </c>
      <c r="AV14" s="122">
        <v>1865063.4469896345</v>
      </c>
    </row>
    <row r="15" spans="1:89" x14ac:dyDescent="0.25">
      <c r="A15" s="114">
        <v>11</v>
      </c>
      <c r="B15" s="115" t="s">
        <v>113</v>
      </c>
      <c r="C15" s="116">
        <v>1657896.2</v>
      </c>
      <c r="D15" s="117">
        <f t="shared" si="0"/>
        <v>1749319.9620000001</v>
      </c>
      <c r="E15" s="117">
        <v>485484.34399999998</v>
      </c>
      <c r="F15" s="117">
        <v>1059071.081</v>
      </c>
      <c r="G15" s="117">
        <v>78461.7</v>
      </c>
      <c r="H15" s="117">
        <v>126302.837</v>
      </c>
      <c r="I15" s="116">
        <v>1683325</v>
      </c>
      <c r="J15" s="117">
        <f t="shared" si="1"/>
        <v>1854721.108</v>
      </c>
      <c r="K15" s="117">
        <v>520501.76000000001</v>
      </c>
      <c r="L15" s="117">
        <v>1115843.159</v>
      </c>
      <c r="M15" s="117">
        <v>110574.84</v>
      </c>
      <c r="N15" s="117">
        <v>107801.349</v>
      </c>
      <c r="O15" s="116">
        <v>1882372.12</v>
      </c>
      <c r="P15" s="117">
        <f t="shared" si="2"/>
        <v>1934776.1140000001</v>
      </c>
      <c r="Q15" s="117">
        <v>554353.92000000004</v>
      </c>
      <c r="R15" s="117">
        <v>1167649.422</v>
      </c>
      <c r="S15" s="117">
        <v>99971.936000000002</v>
      </c>
      <c r="T15" s="117">
        <v>112800.836</v>
      </c>
      <c r="U15" s="116">
        <v>2199085.5099999998</v>
      </c>
      <c r="V15" s="116">
        <f t="shared" si="3"/>
        <v>2104668.8850000002</v>
      </c>
      <c r="W15" s="116">
        <v>595331.38699999999</v>
      </c>
      <c r="X15" s="116">
        <v>1279012.892</v>
      </c>
      <c r="Y15" s="116">
        <v>95839.978000000003</v>
      </c>
      <c r="Z15" s="116">
        <v>134484.628</v>
      </c>
      <c r="AA15" s="116">
        <v>2296762.4789999998</v>
      </c>
      <c r="AB15" s="116">
        <f t="shared" si="4"/>
        <v>2296762.4789999994</v>
      </c>
      <c r="AC15" s="116">
        <v>623715.28399999999</v>
      </c>
      <c r="AD15" s="116">
        <v>1474946.8559999999</v>
      </c>
      <c r="AE15" s="116">
        <v>61893.942000000003</v>
      </c>
      <c r="AF15" s="116">
        <v>136206.397</v>
      </c>
      <c r="AG15" s="116">
        <v>2450397.3840000001</v>
      </c>
      <c r="AH15" s="116">
        <f t="shared" si="5"/>
        <v>2450397.3839999996</v>
      </c>
      <c r="AI15" s="116">
        <v>687410.22100000002</v>
      </c>
      <c r="AJ15" s="116">
        <v>1527416.3829999999</v>
      </c>
      <c r="AK15" s="116">
        <v>73638.232999999993</v>
      </c>
      <c r="AL15" s="116">
        <v>161932.54699999999</v>
      </c>
      <c r="AM15" s="122">
        <v>2536651.3719167993</v>
      </c>
      <c r="AN15" s="116">
        <f t="shared" si="6"/>
        <v>2634186.9880000004</v>
      </c>
      <c r="AO15" s="116">
        <v>719556.97</v>
      </c>
      <c r="AP15" s="116">
        <v>1663077.463</v>
      </c>
      <c r="AQ15" s="116">
        <v>71290.577999999994</v>
      </c>
      <c r="AR15" s="116">
        <v>180261.97700000001</v>
      </c>
      <c r="AT15" s="122">
        <v>2625941.5002082712</v>
      </c>
      <c r="AU15" s="122">
        <v>2718374.6410156018</v>
      </c>
      <c r="AV15" s="122">
        <v>2814061.4283793503</v>
      </c>
    </row>
    <row r="16" spans="1:89" x14ac:dyDescent="0.25">
      <c r="A16" s="114">
        <v>12</v>
      </c>
      <c r="B16" s="115" t="s">
        <v>115</v>
      </c>
      <c r="C16" s="116">
        <v>2881408.92</v>
      </c>
      <c r="D16" s="117">
        <f t="shared" si="0"/>
        <v>2544523.3259999999</v>
      </c>
      <c r="E16" s="117">
        <v>685410.78799999994</v>
      </c>
      <c r="F16" s="117">
        <v>1650951.574</v>
      </c>
      <c r="G16" s="117">
        <v>72334.929000000004</v>
      </c>
      <c r="H16" s="117">
        <v>135826.035</v>
      </c>
      <c r="I16" s="116">
        <v>2678987.7799999998</v>
      </c>
      <c r="J16" s="117">
        <f t="shared" si="1"/>
        <v>2680901.3540000003</v>
      </c>
      <c r="K16" s="117">
        <v>758076.27599999995</v>
      </c>
      <c r="L16" s="117">
        <v>1700641.1680000001</v>
      </c>
      <c r="M16" s="117">
        <v>74329.736999999994</v>
      </c>
      <c r="N16" s="117">
        <v>147854.17300000001</v>
      </c>
      <c r="O16" s="116">
        <v>2852238.93</v>
      </c>
      <c r="P16" s="117">
        <f t="shared" si="2"/>
        <v>2796870.3759999997</v>
      </c>
      <c r="Q16" s="117">
        <v>767370.10499999998</v>
      </c>
      <c r="R16" s="117">
        <v>1785851.9269999999</v>
      </c>
      <c r="S16" s="117">
        <v>78686.775999999998</v>
      </c>
      <c r="T16" s="117">
        <v>164961.568</v>
      </c>
      <c r="U16" s="116">
        <v>2901087.57</v>
      </c>
      <c r="V16" s="116">
        <f t="shared" si="3"/>
        <v>2959915.6140000001</v>
      </c>
      <c r="W16" s="116">
        <v>836761.90899999999</v>
      </c>
      <c r="X16" s="116">
        <v>1872241.7379999999</v>
      </c>
      <c r="Y16" s="116">
        <v>84185.312999999995</v>
      </c>
      <c r="Z16" s="116">
        <v>166726.65400000001</v>
      </c>
      <c r="AA16" s="116">
        <v>3160467.1189999999</v>
      </c>
      <c r="AB16" s="116">
        <f t="shared" si="4"/>
        <v>3160467.1189999999</v>
      </c>
      <c r="AC16" s="116">
        <v>852738.125</v>
      </c>
      <c r="AD16" s="116">
        <v>2037542.23</v>
      </c>
      <c r="AE16" s="116">
        <v>93012.815000000002</v>
      </c>
      <c r="AF16" s="116">
        <v>177173.94899999999</v>
      </c>
      <c r="AG16" s="116">
        <v>3344702.8640000001</v>
      </c>
      <c r="AH16" s="116">
        <f t="shared" si="5"/>
        <v>3344702.8639999996</v>
      </c>
      <c r="AI16" s="116">
        <v>883489.43200000003</v>
      </c>
      <c r="AJ16" s="116">
        <v>2174193.9989999998</v>
      </c>
      <c r="AK16" s="116">
        <v>98994.729000000007</v>
      </c>
      <c r="AL16" s="116">
        <v>188024.704</v>
      </c>
      <c r="AM16" s="122">
        <v>3462436.4048127993</v>
      </c>
      <c r="AN16" s="116">
        <f t="shared" si="6"/>
        <v>3675406.69</v>
      </c>
      <c r="AO16" s="116">
        <v>983767.32299999997</v>
      </c>
      <c r="AP16" s="116">
        <v>2364241.9470000002</v>
      </c>
      <c r="AQ16" s="116">
        <v>111301.9</v>
      </c>
      <c r="AR16" s="116">
        <v>216095.52</v>
      </c>
      <c r="AT16" s="122">
        <v>3584314.1662622094</v>
      </c>
      <c r="AU16" s="122">
        <v>3710482.0249146386</v>
      </c>
      <c r="AV16" s="122">
        <v>3841090.9921916337</v>
      </c>
    </row>
    <row r="17" spans="1:48" x14ac:dyDescent="0.25">
      <c r="A17" s="114">
        <v>13</v>
      </c>
      <c r="B17" s="115" t="s">
        <v>117</v>
      </c>
      <c r="C17" s="116">
        <v>1537003</v>
      </c>
      <c r="D17" s="117">
        <f t="shared" si="0"/>
        <v>1597664.1610000001</v>
      </c>
      <c r="E17" s="117">
        <v>414476.31699999998</v>
      </c>
      <c r="F17" s="117">
        <v>1025972.2120000001</v>
      </c>
      <c r="G17" s="117">
        <v>53416.614999999998</v>
      </c>
      <c r="H17" s="117">
        <v>103799.01700000001</v>
      </c>
      <c r="I17" s="116">
        <v>1739195</v>
      </c>
      <c r="J17" s="117">
        <f t="shared" si="1"/>
        <v>1777297.5279999997</v>
      </c>
      <c r="K17" s="117">
        <v>451806.27</v>
      </c>
      <c r="L17" s="117">
        <v>1169164.1569999999</v>
      </c>
      <c r="M17" s="117">
        <v>57294.031999999999</v>
      </c>
      <c r="N17" s="117">
        <v>99033.069000000003</v>
      </c>
      <c r="O17" s="116">
        <v>1891977</v>
      </c>
      <c r="P17" s="117">
        <f t="shared" si="2"/>
        <v>1854134.1809999999</v>
      </c>
      <c r="Q17" s="117">
        <v>475883.94</v>
      </c>
      <c r="R17" s="117">
        <v>1208652.791</v>
      </c>
      <c r="S17" s="117">
        <v>61815.069000000003</v>
      </c>
      <c r="T17" s="117">
        <v>107782.38099999999</v>
      </c>
      <c r="U17" s="116">
        <v>2069818</v>
      </c>
      <c r="V17" s="116">
        <f t="shared" si="3"/>
        <v>2095285.477</v>
      </c>
      <c r="W17" s="116">
        <v>484989.52799999999</v>
      </c>
      <c r="X17" s="116">
        <v>1403729.544</v>
      </c>
      <c r="Y17" s="116">
        <v>77559.709000000003</v>
      </c>
      <c r="Z17" s="116">
        <v>129006.696</v>
      </c>
      <c r="AA17" s="116">
        <v>2269445.6260000002</v>
      </c>
      <c r="AB17" s="116">
        <f t="shared" si="4"/>
        <v>2269445.6260000002</v>
      </c>
      <c r="AC17" s="116">
        <v>540946.99399999995</v>
      </c>
      <c r="AD17" s="116">
        <v>1515212.598</v>
      </c>
      <c r="AE17" s="116">
        <v>81247.993000000002</v>
      </c>
      <c r="AF17" s="116">
        <v>132038.041</v>
      </c>
      <c r="AG17" s="116">
        <v>2408596.452</v>
      </c>
      <c r="AH17" s="116">
        <f t="shared" si="5"/>
        <v>2408596.4519999996</v>
      </c>
      <c r="AI17" s="116">
        <v>620378.86899999995</v>
      </c>
      <c r="AJ17" s="116">
        <v>1508992.9809999999</v>
      </c>
      <c r="AK17" s="116">
        <v>100509.125</v>
      </c>
      <c r="AL17" s="116">
        <v>178715.47700000001</v>
      </c>
      <c r="AM17" s="122">
        <v>2493379.0471103997</v>
      </c>
      <c r="AN17" s="116">
        <f t="shared" si="6"/>
        <v>2585079.3629999999</v>
      </c>
      <c r="AO17" s="116">
        <v>647300.80900000001</v>
      </c>
      <c r="AP17" s="116">
        <v>1645407.2879999999</v>
      </c>
      <c r="AQ17" s="116">
        <v>83708.880999999994</v>
      </c>
      <c r="AR17" s="116">
        <v>208662.38500000001</v>
      </c>
      <c r="AT17" s="122">
        <v>2581145.9895686856</v>
      </c>
      <c r="AU17" s="122">
        <v>2672002.3284015027</v>
      </c>
      <c r="AV17" s="122">
        <v>2766056.8103612354</v>
      </c>
    </row>
    <row r="18" spans="1:48" x14ac:dyDescent="0.25">
      <c r="A18" s="114">
        <v>14</v>
      </c>
      <c r="B18" s="115" t="s">
        <v>119</v>
      </c>
      <c r="C18" s="116">
        <v>3053662.82</v>
      </c>
      <c r="D18" s="117">
        <f t="shared" si="0"/>
        <v>2860333.55</v>
      </c>
      <c r="E18" s="117">
        <v>795055.27099999995</v>
      </c>
      <c r="F18" s="117">
        <v>1855876.83</v>
      </c>
      <c r="G18" s="117">
        <v>82408.917000000001</v>
      </c>
      <c r="H18" s="117">
        <v>126992.53200000001</v>
      </c>
      <c r="I18" s="116">
        <v>3020408.54</v>
      </c>
      <c r="J18" s="117">
        <f t="shared" si="1"/>
        <v>3012356.142</v>
      </c>
      <c r="K18" s="117">
        <v>813137.67099999997</v>
      </c>
      <c r="L18" s="117">
        <v>1975006.5589999999</v>
      </c>
      <c r="M18" s="117">
        <v>87581.975000000006</v>
      </c>
      <c r="N18" s="117">
        <v>136629.93700000001</v>
      </c>
      <c r="O18" s="116">
        <v>3280654.26</v>
      </c>
      <c r="P18" s="117">
        <f t="shared" si="2"/>
        <v>3190028.4270000001</v>
      </c>
      <c r="Q18" s="117">
        <v>857759.90099999995</v>
      </c>
      <c r="R18" s="117">
        <v>2095777.048</v>
      </c>
      <c r="S18" s="117">
        <v>91691.794999999998</v>
      </c>
      <c r="T18" s="117">
        <v>144799.68299999999</v>
      </c>
      <c r="U18" s="116">
        <v>3536475.37</v>
      </c>
      <c r="V18" s="116">
        <f t="shared" si="3"/>
        <v>3414579.0470000003</v>
      </c>
      <c r="W18" s="116">
        <v>925613.78200000001</v>
      </c>
      <c r="X18" s="116">
        <v>2236850.04</v>
      </c>
      <c r="Y18" s="116">
        <v>98303.926000000007</v>
      </c>
      <c r="Z18" s="116">
        <v>153811.299</v>
      </c>
      <c r="AA18" s="116">
        <v>3627612.8489999999</v>
      </c>
      <c r="AB18" s="116">
        <f t="shared" si="4"/>
        <v>3627612.8489999999</v>
      </c>
      <c r="AC18" s="116">
        <v>970024.728</v>
      </c>
      <c r="AD18" s="116">
        <v>2394479.801</v>
      </c>
      <c r="AE18" s="116">
        <v>102829.755</v>
      </c>
      <c r="AF18" s="116">
        <v>160278.565</v>
      </c>
      <c r="AG18" s="116">
        <v>3849429.5950000002</v>
      </c>
      <c r="AH18" s="116">
        <f t="shared" si="5"/>
        <v>3849429.5950000002</v>
      </c>
      <c r="AI18" s="116">
        <v>1004607.625</v>
      </c>
      <c r="AJ18" s="116">
        <v>2564387.1129999999</v>
      </c>
      <c r="AK18" s="116">
        <v>109485.484</v>
      </c>
      <c r="AL18" s="116">
        <v>170949.37299999999</v>
      </c>
      <c r="AM18" s="122">
        <v>3984929.516743999</v>
      </c>
      <c r="AN18" s="116">
        <f t="shared" si="6"/>
        <v>4121004.3120000004</v>
      </c>
      <c r="AO18" s="116">
        <v>1121994.7609999999</v>
      </c>
      <c r="AP18" s="116">
        <v>2674974.1970000002</v>
      </c>
      <c r="AQ18" s="116">
        <v>131357.19399999999</v>
      </c>
      <c r="AR18" s="116">
        <v>192678.16</v>
      </c>
      <c r="AT18" s="122">
        <v>4125199.0357333873</v>
      </c>
      <c r="AU18" s="122">
        <v>4270406.0417912025</v>
      </c>
      <c r="AV18" s="122">
        <v>4420724.3344622524</v>
      </c>
    </row>
    <row r="19" spans="1:48" x14ac:dyDescent="0.25">
      <c r="A19" s="114">
        <v>15</v>
      </c>
      <c r="B19" s="115" t="s">
        <v>121</v>
      </c>
      <c r="C19" s="116">
        <v>5555300.0199999996</v>
      </c>
      <c r="D19" s="117">
        <f t="shared" si="0"/>
        <v>5476352.2189999996</v>
      </c>
      <c r="E19" s="117">
        <v>1407389.594</v>
      </c>
      <c r="F19" s="117">
        <v>3661409.165</v>
      </c>
      <c r="G19" s="117">
        <v>154836.875</v>
      </c>
      <c r="H19" s="117">
        <v>252716.58499999999</v>
      </c>
      <c r="I19" s="116">
        <v>6021114.0300000003</v>
      </c>
      <c r="J19" s="117">
        <f t="shared" si="1"/>
        <v>6026515.716</v>
      </c>
      <c r="K19" s="117">
        <v>1517994.3870000001</v>
      </c>
      <c r="L19" s="117">
        <v>4070590.966</v>
      </c>
      <c r="M19" s="117">
        <v>166199.79699999999</v>
      </c>
      <c r="N19" s="117">
        <v>271730.56599999999</v>
      </c>
      <c r="O19" s="116">
        <v>6743472.5</v>
      </c>
      <c r="P19" s="117">
        <f t="shared" si="2"/>
        <v>6257393.142</v>
      </c>
      <c r="Q19" s="117">
        <v>1573352.4609999999</v>
      </c>
      <c r="R19" s="117">
        <v>4232856.5789999999</v>
      </c>
      <c r="S19" s="117">
        <v>169550.82199999999</v>
      </c>
      <c r="T19" s="117">
        <v>281633.28000000003</v>
      </c>
      <c r="U19" s="116">
        <v>7385070.29</v>
      </c>
      <c r="V19" s="116">
        <f t="shared" si="3"/>
        <v>6985951.0170000009</v>
      </c>
      <c r="W19" s="116">
        <v>1783921.8259999999</v>
      </c>
      <c r="X19" s="116">
        <v>4683797.2340000002</v>
      </c>
      <c r="Y19" s="116">
        <v>199674.48499999999</v>
      </c>
      <c r="Z19" s="116">
        <v>318557.47200000001</v>
      </c>
      <c r="AA19" s="116">
        <v>7569979.068</v>
      </c>
      <c r="AB19" s="116">
        <f t="shared" si="4"/>
        <v>7569979.068</v>
      </c>
      <c r="AC19" s="116">
        <v>1829305.56</v>
      </c>
      <c r="AD19" s="116">
        <v>5223858.1270000003</v>
      </c>
      <c r="AE19" s="116">
        <v>184282.986</v>
      </c>
      <c r="AF19" s="116">
        <v>332532.39500000002</v>
      </c>
      <c r="AG19" s="116">
        <v>8014954.1540000001</v>
      </c>
      <c r="AH19" s="116">
        <f t="shared" si="5"/>
        <v>8014954.1540000001</v>
      </c>
      <c r="AI19" s="116">
        <v>2035945.558</v>
      </c>
      <c r="AJ19" s="116">
        <v>5381704.943</v>
      </c>
      <c r="AK19" s="116">
        <v>214104.16899999999</v>
      </c>
      <c r="AL19" s="116">
        <v>383199.484</v>
      </c>
      <c r="AM19" s="122">
        <v>8297080.5402207999</v>
      </c>
      <c r="AN19" s="116">
        <f t="shared" si="6"/>
        <v>8556576.6380000003</v>
      </c>
      <c r="AO19" s="116">
        <v>2346801.148</v>
      </c>
      <c r="AP19" s="116">
        <v>5452323.6210000003</v>
      </c>
      <c r="AQ19" s="116">
        <v>216875.383</v>
      </c>
      <c r="AR19" s="116">
        <v>540576.48600000003</v>
      </c>
      <c r="AT19" s="122">
        <v>8589137.7752365731</v>
      </c>
      <c r="AU19" s="122">
        <v>8891475.4249248989</v>
      </c>
      <c r="AV19" s="122">
        <v>9204455.3598822542</v>
      </c>
    </row>
    <row r="20" spans="1:48" x14ac:dyDescent="0.25">
      <c r="A20" s="114">
        <v>16</v>
      </c>
      <c r="B20" s="115" t="s">
        <v>123</v>
      </c>
      <c r="C20" s="116">
        <v>2693258.8</v>
      </c>
      <c r="D20" s="117">
        <f t="shared" si="0"/>
        <v>1766544.5249999999</v>
      </c>
      <c r="E20" s="117">
        <v>421305.77799999999</v>
      </c>
      <c r="F20" s="117">
        <v>1195910.054</v>
      </c>
      <c r="G20" s="117">
        <v>47529.357000000004</v>
      </c>
      <c r="H20" s="117">
        <v>101799.336</v>
      </c>
      <c r="I20" s="116">
        <v>1694234</v>
      </c>
      <c r="J20" s="117">
        <f t="shared" si="1"/>
        <v>1874122.3450000002</v>
      </c>
      <c r="K20" s="117">
        <v>451055.72600000002</v>
      </c>
      <c r="L20" s="117">
        <v>1264282.567</v>
      </c>
      <c r="M20" s="117">
        <v>50795.678</v>
      </c>
      <c r="N20" s="117">
        <v>107988.374</v>
      </c>
      <c r="O20" s="116">
        <v>1944256.18</v>
      </c>
      <c r="P20" s="117">
        <f t="shared" si="2"/>
        <v>1972222.7580000001</v>
      </c>
      <c r="Q20" s="117">
        <v>475862.29300000001</v>
      </c>
      <c r="R20" s="117">
        <v>1329654.672</v>
      </c>
      <c r="S20" s="117">
        <v>53407.678</v>
      </c>
      <c r="T20" s="117">
        <v>113298.11500000001</v>
      </c>
      <c r="U20" s="116">
        <v>2137361</v>
      </c>
      <c r="V20" s="116">
        <f t="shared" si="3"/>
        <v>2246920.4439999997</v>
      </c>
      <c r="W20" s="116">
        <v>502818.41</v>
      </c>
      <c r="X20" s="116">
        <v>1533997.909</v>
      </c>
      <c r="Y20" s="116">
        <v>56079.038</v>
      </c>
      <c r="Z20" s="116">
        <v>154025.087</v>
      </c>
      <c r="AA20" s="116">
        <v>2427339.2250000001</v>
      </c>
      <c r="AB20" s="116">
        <f t="shared" si="4"/>
        <v>2427339.2250000001</v>
      </c>
      <c r="AC20" s="116">
        <v>581731.02599999995</v>
      </c>
      <c r="AD20" s="116">
        <v>1595792.622</v>
      </c>
      <c r="AE20" s="116">
        <v>59789.947</v>
      </c>
      <c r="AF20" s="116">
        <v>190025.63</v>
      </c>
      <c r="AG20" s="116">
        <v>2583164.7990000001</v>
      </c>
      <c r="AH20" s="116">
        <f t="shared" si="5"/>
        <v>2583164.7989999996</v>
      </c>
      <c r="AI20" s="116">
        <v>635251.37399999995</v>
      </c>
      <c r="AJ20" s="116">
        <v>1668351.852</v>
      </c>
      <c r="AK20" s="116">
        <v>69656.739000000001</v>
      </c>
      <c r="AL20" s="116">
        <v>209904.834</v>
      </c>
      <c r="AM20" s="122">
        <v>2674092.1999247996</v>
      </c>
      <c r="AN20" s="116">
        <f t="shared" si="6"/>
        <v>2778369.0409999997</v>
      </c>
      <c r="AO20" s="116">
        <v>738766.69099999999</v>
      </c>
      <c r="AP20" s="116">
        <v>1725507.1640000001</v>
      </c>
      <c r="AQ20" s="116">
        <v>81632.623999999996</v>
      </c>
      <c r="AR20" s="116">
        <v>232462.56200000001</v>
      </c>
      <c r="AT20" s="122">
        <v>2768220.2453621523</v>
      </c>
      <c r="AU20" s="122">
        <v>2865661.5979989003</v>
      </c>
      <c r="AV20" s="122">
        <v>2966532.886248461</v>
      </c>
    </row>
    <row r="21" spans="1:48" x14ac:dyDescent="0.25">
      <c r="A21" s="114">
        <v>17</v>
      </c>
      <c r="B21" s="115" t="s">
        <v>125</v>
      </c>
      <c r="C21" s="116">
        <v>840214</v>
      </c>
      <c r="D21" s="117">
        <f t="shared" si="0"/>
        <v>854831.50100000005</v>
      </c>
      <c r="E21" s="117">
        <v>246125.63800000001</v>
      </c>
      <c r="F21" s="117">
        <v>521038.11800000002</v>
      </c>
      <c r="G21" s="117">
        <v>33366.493999999999</v>
      </c>
      <c r="H21" s="117">
        <v>54301.250999999997</v>
      </c>
      <c r="I21" s="116">
        <v>830360.14</v>
      </c>
      <c r="J21" s="117">
        <f t="shared" si="1"/>
        <v>908440.32200000004</v>
      </c>
      <c r="K21" s="117">
        <v>258092.91899999999</v>
      </c>
      <c r="L21" s="117">
        <v>563540.47100000002</v>
      </c>
      <c r="M21" s="117">
        <v>34547.864999999998</v>
      </c>
      <c r="N21" s="117">
        <v>52259.067000000003</v>
      </c>
      <c r="O21" s="116">
        <v>848019.4</v>
      </c>
      <c r="P21" s="117">
        <f t="shared" si="2"/>
        <v>956261.95900000003</v>
      </c>
      <c r="Q21" s="117">
        <v>257999.902</v>
      </c>
      <c r="R21" s="117">
        <v>602815.66500000004</v>
      </c>
      <c r="S21" s="117">
        <v>40189.235000000001</v>
      </c>
      <c r="T21" s="117">
        <v>55257.156999999999</v>
      </c>
      <c r="U21" s="116">
        <v>1101143.3999999999</v>
      </c>
      <c r="V21" s="116">
        <f t="shared" si="3"/>
        <v>1097262.6840000001</v>
      </c>
      <c r="W21" s="116">
        <v>273103.179</v>
      </c>
      <c r="X21" s="116">
        <v>723967.49600000004</v>
      </c>
      <c r="Y21" s="116">
        <v>41797.463000000003</v>
      </c>
      <c r="Z21" s="116">
        <v>58394.546000000002</v>
      </c>
      <c r="AA21" s="116">
        <v>1229159.0109999999</v>
      </c>
      <c r="AB21" s="116">
        <f t="shared" si="4"/>
        <v>1229159.0109999999</v>
      </c>
      <c r="AC21" s="116">
        <v>325428.31199999998</v>
      </c>
      <c r="AD21" s="116">
        <v>796642.79099999997</v>
      </c>
      <c r="AE21" s="116">
        <v>46391.495000000003</v>
      </c>
      <c r="AF21" s="116">
        <v>60696.413</v>
      </c>
      <c r="AG21" s="116">
        <v>1304957.709</v>
      </c>
      <c r="AH21" s="116">
        <f t="shared" si="5"/>
        <v>1304957.7089999998</v>
      </c>
      <c r="AI21" s="116">
        <v>318683.68099999998</v>
      </c>
      <c r="AJ21" s="116">
        <v>834752.13399999996</v>
      </c>
      <c r="AK21" s="116">
        <v>51219.817999999999</v>
      </c>
      <c r="AL21" s="116">
        <v>100302.076</v>
      </c>
      <c r="AM21" s="122">
        <v>1350892.2203568001</v>
      </c>
      <c r="AN21" s="116">
        <f t="shared" si="6"/>
        <v>1413300.692</v>
      </c>
      <c r="AO21" s="116">
        <v>397620.03100000002</v>
      </c>
      <c r="AP21" s="116">
        <v>844517.73699999996</v>
      </c>
      <c r="AQ21" s="116">
        <v>90793.134999999995</v>
      </c>
      <c r="AR21" s="116">
        <v>80369.789000000004</v>
      </c>
      <c r="AT21" s="122">
        <v>1398443.6265133591</v>
      </c>
      <c r="AU21" s="122">
        <v>1447668.8421666292</v>
      </c>
      <c r="AV21" s="122">
        <v>1498626.7854108943</v>
      </c>
    </row>
    <row r="22" spans="1:48" x14ac:dyDescent="0.25">
      <c r="A22" s="114">
        <v>18</v>
      </c>
      <c r="B22" s="115" t="s">
        <v>127</v>
      </c>
      <c r="C22" s="116">
        <v>719653</v>
      </c>
      <c r="D22" s="117">
        <f t="shared" si="0"/>
        <v>720722.81299999997</v>
      </c>
      <c r="E22" s="117">
        <v>193920.37599999999</v>
      </c>
      <c r="F22" s="117">
        <v>461779.69500000001</v>
      </c>
      <c r="G22" s="117">
        <v>23789.347000000002</v>
      </c>
      <c r="H22" s="117">
        <v>41233.394999999997</v>
      </c>
      <c r="I22" s="116">
        <v>835261.1</v>
      </c>
      <c r="J22" s="117">
        <f t="shared" si="1"/>
        <v>834763.38100000005</v>
      </c>
      <c r="K22" s="117">
        <v>217695.02499999999</v>
      </c>
      <c r="L22" s="117">
        <v>561589.95499999996</v>
      </c>
      <c r="M22" s="117">
        <v>23153.574000000001</v>
      </c>
      <c r="N22" s="117">
        <v>32324.827000000001</v>
      </c>
      <c r="O22" s="116">
        <v>982759.2</v>
      </c>
      <c r="P22" s="117">
        <f t="shared" si="2"/>
        <v>885870.38500000001</v>
      </c>
      <c r="Q22" s="117">
        <v>220111.80600000001</v>
      </c>
      <c r="R22" s="117">
        <v>595519.08299999998</v>
      </c>
      <c r="S22" s="117">
        <v>24595.302</v>
      </c>
      <c r="T22" s="117">
        <v>45644.194000000003</v>
      </c>
      <c r="U22" s="116">
        <v>1133854.1299999999</v>
      </c>
      <c r="V22" s="116">
        <f t="shared" si="3"/>
        <v>1023780.8840000001</v>
      </c>
      <c r="W22" s="116">
        <v>240358.02299999999</v>
      </c>
      <c r="X22" s="116">
        <v>695198.09400000004</v>
      </c>
      <c r="Y22" s="116">
        <v>27785.998</v>
      </c>
      <c r="Z22" s="116">
        <v>60438.769</v>
      </c>
      <c r="AA22" s="116">
        <v>1163446.5460000001</v>
      </c>
      <c r="AB22" s="116">
        <f t="shared" si="4"/>
        <v>1163446.5460000001</v>
      </c>
      <c r="AC22" s="116">
        <v>255444.53400000001</v>
      </c>
      <c r="AD22" s="116">
        <v>803668.495</v>
      </c>
      <c r="AE22" s="116">
        <v>32546.272000000001</v>
      </c>
      <c r="AF22" s="116">
        <v>71787.244999999995</v>
      </c>
      <c r="AG22" s="116">
        <v>1238162.5</v>
      </c>
      <c r="AH22" s="116">
        <f t="shared" si="5"/>
        <v>1238162.5</v>
      </c>
      <c r="AI22" s="116">
        <v>309741.68300000002</v>
      </c>
      <c r="AJ22" s="116">
        <v>801453.16700000002</v>
      </c>
      <c r="AK22" s="116">
        <v>37076.095999999998</v>
      </c>
      <c r="AL22" s="116">
        <v>89891.554000000004</v>
      </c>
      <c r="AM22" s="122">
        <v>1281745.8199999998</v>
      </c>
      <c r="AN22" s="116">
        <f t="shared" si="6"/>
        <v>1346661.007</v>
      </c>
      <c r="AO22" s="116">
        <v>355230.25300000003</v>
      </c>
      <c r="AP22" s="116">
        <v>850590.522</v>
      </c>
      <c r="AQ22" s="116">
        <v>52433.934999999998</v>
      </c>
      <c r="AR22" s="116">
        <v>88406.297000000006</v>
      </c>
      <c r="AT22" s="122">
        <v>1326863.2728639999</v>
      </c>
      <c r="AU22" s="122">
        <v>1373568.8600688123</v>
      </c>
      <c r="AV22" s="122">
        <v>1421918.4839432344</v>
      </c>
    </row>
    <row r="23" spans="1:48" x14ac:dyDescent="0.25">
      <c r="A23" s="114">
        <v>19</v>
      </c>
      <c r="B23" s="115" t="s">
        <v>129</v>
      </c>
      <c r="C23" s="116">
        <v>1419022.88</v>
      </c>
      <c r="D23" s="117">
        <f t="shared" si="0"/>
        <v>1419022.889</v>
      </c>
      <c r="E23" s="117">
        <v>365046.92</v>
      </c>
      <c r="F23" s="117">
        <v>938565.16599999997</v>
      </c>
      <c r="G23" s="117">
        <v>43800.27</v>
      </c>
      <c r="H23" s="117">
        <v>71610.532999999996</v>
      </c>
      <c r="I23" s="116">
        <v>1513485.67</v>
      </c>
      <c r="J23" s="117">
        <f t="shared" si="1"/>
        <v>1511860.3429999999</v>
      </c>
      <c r="K23" s="117">
        <v>390964.43099999998</v>
      </c>
      <c r="L23" s="117">
        <v>998090.98899999994</v>
      </c>
      <c r="M23" s="117">
        <v>46572.642</v>
      </c>
      <c r="N23" s="117">
        <v>76232.281000000003</v>
      </c>
      <c r="O23" s="116">
        <v>1633189.29</v>
      </c>
      <c r="P23" s="117">
        <f t="shared" si="2"/>
        <v>1585678.0890000002</v>
      </c>
      <c r="Q23" s="117">
        <v>433535.43900000001</v>
      </c>
      <c r="R23" s="117">
        <v>1026266.861</v>
      </c>
      <c r="S23" s="117">
        <v>48454.277000000002</v>
      </c>
      <c r="T23" s="117">
        <v>77421.512000000002</v>
      </c>
      <c r="U23" s="116">
        <v>1972281.5</v>
      </c>
      <c r="V23" s="116">
        <f t="shared" si="3"/>
        <v>1720881.264</v>
      </c>
      <c r="W23" s="116">
        <v>473249.43699999998</v>
      </c>
      <c r="X23" s="116">
        <v>1109690.115</v>
      </c>
      <c r="Y23" s="116">
        <v>53433.169000000002</v>
      </c>
      <c r="Z23" s="116">
        <v>84508.543000000005</v>
      </c>
      <c r="AA23" s="116">
        <v>1991010.89</v>
      </c>
      <c r="AB23" s="116">
        <f t="shared" si="4"/>
        <v>1991010.89</v>
      </c>
      <c r="AC23" s="116">
        <v>489069.777</v>
      </c>
      <c r="AD23" s="116">
        <v>1225255.361</v>
      </c>
      <c r="AE23" s="116">
        <v>47737.487999999998</v>
      </c>
      <c r="AF23" s="116">
        <v>228948.264</v>
      </c>
      <c r="AG23" s="116">
        <v>2104363.75</v>
      </c>
      <c r="AH23" s="116">
        <f t="shared" si="5"/>
        <v>2104363.75</v>
      </c>
      <c r="AI23" s="116">
        <v>513634.30200000003</v>
      </c>
      <c r="AJ23" s="116">
        <v>1293571.625</v>
      </c>
      <c r="AK23" s="116">
        <v>63505.034</v>
      </c>
      <c r="AL23" s="116">
        <v>233652.78899999999</v>
      </c>
      <c r="AM23" s="122">
        <v>2178437.3539999994</v>
      </c>
      <c r="AN23" s="116">
        <f t="shared" si="6"/>
        <v>2288429.3540000003</v>
      </c>
      <c r="AO23" s="116">
        <v>737495.72600000002</v>
      </c>
      <c r="AP23" s="116">
        <v>1292776.605</v>
      </c>
      <c r="AQ23" s="116">
        <v>63313.692000000003</v>
      </c>
      <c r="AR23" s="116">
        <v>194843.33100000001</v>
      </c>
      <c r="AT23" s="122">
        <v>2255118.3488607998</v>
      </c>
      <c r="AU23" s="122">
        <v>2334498.5147406994</v>
      </c>
      <c r="AV23" s="122">
        <v>2416672.862459572</v>
      </c>
    </row>
    <row r="24" spans="1:48" x14ac:dyDescent="0.25">
      <c r="A24" s="114">
        <v>20</v>
      </c>
      <c r="B24" s="115" t="s">
        <v>131</v>
      </c>
      <c r="C24" s="116">
        <v>2040057.12</v>
      </c>
      <c r="D24" s="117">
        <f t="shared" si="0"/>
        <v>2042516.3329999996</v>
      </c>
      <c r="E24" s="117">
        <v>554563.54799999995</v>
      </c>
      <c r="F24" s="117">
        <v>1241039.9709999999</v>
      </c>
      <c r="G24" s="117">
        <v>96798.426999999996</v>
      </c>
      <c r="H24" s="117">
        <v>150114.38699999999</v>
      </c>
      <c r="I24" s="116">
        <v>2186736.14</v>
      </c>
      <c r="J24" s="117">
        <f t="shared" si="1"/>
        <v>2187052.7749999999</v>
      </c>
      <c r="K24" s="117">
        <v>581246.23199999996</v>
      </c>
      <c r="L24" s="117">
        <v>1337699.6740000001</v>
      </c>
      <c r="M24" s="117">
        <v>79219.376000000004</v>
      </c>
      <c r="N24" s="117">
        <v>188887.49299999999</v>
      </c>
      <c r="O24" s="116">
        <v>2374965.4</v>
      </c>
      <c r="P24" s="117">
        <f t="shared" si="2"/>
        <v>2283671.5610000002</v>
      </c>
      <c r="Q24" s="117">
        <v>599748.03599999996</v>
      </c>
      <c r="R24" s="117">
        <v>1419509.7250000001</v>
      </c>
      <c r="S24" s="117">
        <v>70191.87</v>
      </c>
      <c r="T24" s="117">
        <v>194221.93</v>
      </c>
      <c r="U24" s="116">
        <v>2695091.55</v>
      </c>
      <c r="V24" s="116">
        <f t="shared" si="3"/>
        <v>2479825.0870000003</v>
      </c>
      <c r="W24" s="116">
        <v>654298.92200000002</v>
      </c>
      <c r="X24" s="116">
        <v>1456692.4480000001</v>
      </c>
      <c r="Y24" s="116">
        <v>78507.061000000002</v>
      </c>
      <c r="Z24" s="116">
        <v>290326.65600000002</v>
      </c>
      <c r="AA24" s="116">
        <v>2746082.7969999998</v>
      </c>
      <c r="AB24" s="116">
        <f t="shared" si="4"/>
        <v>2746082.7970000003</v>
      </c>
      <c r="AC24" s="116">
        <v>684367.54200000002</v>
      </c>
      <c r="AD24" s="116">
        <v>1707579.1410000001</v>
      </c>
      <c r="AE24" s="116">
        <v>109319.56600000001</v>
      </c>
      <c r="AF24" s="116">
        <v>244816.54800000001</v>
      </c>
      <c r="AG24" s="116">
        <v>2926918.236</v>
      </c>
      <c r="AH24" s="116">
        <f t="shared" si="5"/>
        <v>2926918.236</v>
      </c>
      <c r="AI24" s="116">
        <v>737204.27899999998</v>
      </c>
      <c r="AJ24" s="116">
        <v>1846875.223</v>
      </c>
      <c r="AK24" s="116">
        <v>130742.66899999999</v>
      </c>
      <c r="AL24" s="116">
        <v>212096.065</v>
      </c>
      <c r="AM24" s="122">
        <v>3029945.7579071997</v>
      </c>
      <c r="AN24" s="116">
        <f t="shared" si="6"/>
        <v>3229261.2050000005</v>
      </c>
      <c r="AO24" s="116">
        <v>813382.34199999995</v>
      </c>
      <c r="AP24" s="116">
        <v>1932758.1710000001</v>
      </c>
      <c r="AQ24" s="116">
        <v>206233.72</v>
      </c>
      <c r="AR24" s="116">
        <v>276886.97200000001</v>
      </c>
      <c r="AT24" s="122">
        <v>3136599.8485855325</v>
      </c>
      <c r="AU24" s="122">
        <v>3247008.1632557432</v>
      </c>
      <c r="AV24" s="122">
        <v>3361302.8506023455</v>
      </c>
    </row>
    <row r="25" spans="1:48" x14ac:dyDescent="0.25">
      <c r="A25" s="114">
        <v>21</v>
      </c>
      <c r="B25" s="115" t="s">
        <v>133</v>
      </c>
      <c r="C25" s="116">
        <v>1646588</v>
      </c>
      <c r="D25" s="117">
        <f t="shared" si="0"/>
        <v>1923783.051</v>
      </c>
      <c r="E25" s="117">
        <v>392800.36599999998</v>
      </c>
      <c r="F25" s="117">
        <v>1378197.541</v>
      </c>
      <c r="G25" s="117">
        <v>54058.133999999998</v>
      </c>
      <c r="H25" s="117">
        <v>98727.01</v>
      </c>
      <c r="I25" s="116">
        <v>1707395</v>
      </c>
      <c r="J25" s="117">
        <f t="shared" si="1"/>
        <v>2040501.1240000001</v>
      </c>
      <c r="K25" s="117">
        <v>425958.98</v>
      </c>
      <c r="L25" s="117">
        <v>1359980.392</v>
      </c>
      <c r="M25" s="117">
        <v>60122.972999999998</v>
      </c>
      <c r="N25" s="117">
        <v>194438.77900000001</v>
      </c>
      <c r="O25" s="116">
        <v>1996839</v>
      </c>
      <c r="P25" s="117">
        <f t="shared" si="2"/>
        <v>2148285.7970000003</v>
      </c>
      <c r="Q25" s="117">
        <v>461935.54800000001</v>
      </c>
      <c r="R25" s="117">
        <v>1421146.2590000001</v>
      </c>
      <c r="S25" s="117">
        <v>63184.659</v>
      </c>
      <c r="T25" s="117">
        <v>202019.33100000001</v>
      </c>
      <c r="U25" s="116">
        <v>2053326.55</v>
      </c>
      <c r="V25" s="116">
        <f t="shared" si="3"/>
        <v>2312135.25</v>
      </c>
      <c r="W25" s="116">
        <v>492863.81400000001</v>
      </c>
      <c r="X25" s="116">
        <v>1423294.5930000001</v>
      </c>
      <c r="Y25" s="116">
        <v>87274.361999999994</v>
      </c>
      <c r="Z25" s="116">
        <v>308702.48100000003</v>
      </c>
      <c r="AA25" s="116">
        <v>2594182.2429999998</v>
      </c>
      <c r="AB25" s="116">
        <f t="shared" si="4"/>
        <v>2594182.2430000002</v>
      </c>
      <c r="AC25" s="116">
        <v>568747.32999999996</v>
      </c>
      <c r="AD25" s="116">
        <v>1594599.2590000001</v>
      </c>
      <c r="AE25" s="116">
        <v>126202.136</v>
      </c>
      <c r="AF25" s="116">
        <v>304633.51799999998</v>
      </c>
      <c r="AG25" s="116">
        <v>2772584.8939999999</v>
      </c>
      <c r="AH25" s="116">
        <f t="shared" si="5"/>
        <v>2772584.8940000003</v>
      </c>
      <c r="AI25" s="116">
        <v>635648.07700000005</v>
      </c>
      <c r="AJ25" s="116">
        <v>1685197.953</v>
      </c>
      <c r="AK25" s="116">
        <v>137629.70000000001</v>
      </c>
      <c r="AL25" s="116">
        <v>314109.16399999999</v>
      </c>
      <c r="AM25" s="122">
        <v>2870179.8822687999</v>
      </c>
      <c r="AN25" s="116">
        <f t="shared" si="6"/>
        <v>2998036.9940000004</v>
      </c>
      <c r="AO25" s="116">
        <v>696268.40800000005</v>
      </c>
      <c r="AP25" s="116">
        <v>1827811.4169999999</v>
      </c>
      <c r="AQ25" s="116">
        <v>144078.39799999999</v>
      </c>
      <c r="AR25" s="116">
        <v>329878.77100000001</v>
      </c>
      <c r="AT25" s="122">
        <v>2971210.2141246609</v>
      </c>
      <c r="AU25" s="122">
        <v>3075796.8136618491</v>
      </c>
      <c r="AV25" s="122">
        <v>3184064.8615027457</v>
      </c>
    </row>
    <row r="26" spans="1:48" x14ac:dyDescent="0.25">
      <c r="A26" s="114">
        <v>22</v>
      </c>
      <c r="B26" s="115" t="s">
        <v>135</v>
      </c>
      <c r="C26" s="116">
        <v>973907.9</v>
      </c>
      <c r="D26" s="117">
        <f t="shared" si="0"/>
        <v>974679.56499999994</v>
      </c>
      <c r="E26" s="117">
        <v>261696.992</v>
      </c>
      <c r="F26" s="117">
        <v>645332.90599999996</v>
      </c>
      <c r="G26" s="117">
        <v>24970.324000000001</v>
      </c>
      <c r="H26" s="117">
        <v>42679.343000000001</v>
      </c>
      <c r="I26" s="116">
        <v>1034987.45</v>
      </c>
      <c r="J26" s="117">
        <f t="shared" si="1"/>
        <v>1033326.0719999999</v>
      </c>
      <c r="K26" s="117">
        <v>254494.73300000001</v>
      </c>
      <c r="L26" s="117">
        <v>664142.55799999996</v>
      </c>
      <c r="M26" s="117">
        <v>67844.645000000004</v>
      </c>
      <c r="N26" s="117">
        <v>46844.135999999999</v>
      </c>
      <c r="O26" s="116">
        <v>1152338.21</v>
      </c>
      <c r="P26" s="117">
        <f t="shared" si="2"/>
        <v>1081481.4650000001</v>
      </c>
      <c r="Q26" s="117">
        <v>270446.571</v>
      </c>
      <c r="R26" s="117">
        <v>701863.19200000004</v>
      </c>
      <c r="S26" s="117">
        <v>60653.860999999997</v>
      </c>
      <c r="T26" s="117">
        <v>48517.841</v>
      </c>
      <c r="U26" s="116">
        <v>1310741.69</v>
      </c>
      <c r="V26" s="116">
        <f t="shared" si="3"/>
        <v>1196682.575</v>
      </c>
      <c r="W26" s="116">
        <v>350018.55699999997</v>
      </c>
      <c r="X26" s="116">
        <v>748467.62199999997</v>
      </c>
      <c r="Y26" s="116">
        <v>50685.665999999997</v>
      </c>
      <c r="Z26" s="116">
        <v>47510.73</v>
      </c>
      <c r="AA26" s="116">
        <v>1342348.2439999999</v>
      </c>
      <c r="AB26" s="116">
        <f t="shared" si="4"/>
        <v>1342348.2439999997</v>
      </c>
      <c r="AC26" s="116">
        <v>337177.36099999998</v>
      </c>
      <c r="AD26" s="116">
        <v>890425.23199999996</v>
      </c>
      <c r="AE26" s="116">
        <v>50706.207000000002</v>
      </c>
      <c r="AF26" s="116">
        <v>64039.444000000003</v>
      </c>
      <c r="AG26" s="116">
        <v>1423404.8589999999</v>
      </c>
      <c r="AH26" s="116">
        <f t="shared" si="5"/>
        <v>1423404.8590000002</v>
      </c>
      <c r="AI26" s="116">
        <v>358905.98499999999</v>
      </c>
      <c r="AJ26" s="116">
        <v>941081.61800000002</v>
      </c>
      <c r="AK26" s="116">
        <v>47915.22</v>
      </c>
      <c r="AL26" s="116">
        <v>75502.035999999993</v>
      </c>
      <c r="AM26" s="122">
        <v>1473508.7100368</v>
      </c>
      <c r="AN26" s="116">
        <f t="shared" si="6"/>
        <v>1539772.5630000001</v>
      </c>
      <c r="AO26" s="116">
        <v>407759.76299999998</v>
      </c>
      <c r="AP26" s="116">
        <v>999798.41700000002</v>
      </c>
      <c r="AQ26" s="116">
        <v>69236.769</v>
      </c>
      <c r="AR26" s="116">
        <v>62977.614000000001</v>
      </c>
      <c r="AT26" s="122">
        <v>1525376.2166300952</v>
      </c>
      <c r="AU26" s="122">
        <v>1579069.4594554743</v>
      </c>
      <c r="AV26" s="122">
        <v>1634652.704428307</v>
      </c>
    </row>
    <row r="27" spans="1:48" x14ac:dyDescent="0.25">
      <c r="A27" s="114">
        <v>23</v>
      </c>
      <c r="B27" s="115" t="s">
        <v>137</v>
      </c>
      <c r="C27" s="116">
        <v>850133.13</v>
      </c>
      <c r="D27" s="117">
        <f t="shared" si="0"/>
        <v>769735.83299999998</v>
      </c>
      <c r="E27" s="117">
        <v>206751.00599999999</v>
      </c>
      <c r="F27" s="117">
        <v>480548.05499999999</v>
      </c>
      <c r="G27" s="117">
        <v>27123.451000000001</v>
      </c>
      <c r="H27" s="117">
        <v>55313.321000000004</v>
      </c>
      <c r="I27" s="116">
        <v>897921.8</v>
      </c>
      <c r="J27" s="117">
        <f t="shared" si="1"/>
        <v>900744.79899999988</v>
      </c>
      <c r="K27" s="117">
        <v>218218.81</v>
      </c>
      <c r="L27" s="117">
        <v>599345.924</v>
      </c>
      <c r="M27" s="117">
        <v>23874.125</v>
      </c>
      <c r="N27" s="117">
        <v>59305.94</v>
      </c>
      <c r="O27" s="116">
        <v>992330.85</v>
      </c>
      <c r="P27" s="117">
        <f t="shared" si="2"/>
        <v>938610.32200000004</v>
      </c>
      <c r="Q27" s="117">
        <v>232408.09700000001</v>
      </c>
      <c r="R27" s="117">
        <v>617703.23699999996</v>
      </c>
      <c r="S27" s="117">
        <v>24972.207999999999</v>
      </c>
      <c r="T27" s="117">
        <v>63526.78</v>
      </c>
      <c r="U27" s="116">
        <v>1106830.6499999999</v>
      </c>
      <c r="V27" s="116">
        <f t="shared" si="3"/>
        <v>1061283.186</v>
      </c>
      <c r="W27" s="116">
        <v>254323.50700000001</v>
      </c>
      <c r="X27" s="116">
        <v>707372.72</v>
      </c>
      <c r="Y27" s="116">
        <v>26705.694</v>
      </c>
      <c r="Z27" s="116">
        <v>72881.264999999999</v>
      </c>
      <c r="AA27" s="116">
        <v>1154756.426</v>
      </c>
      <c r="AB27" s="116">
        <f t="shared" si="4"/>
        <v>1154756.4259999997</v>
      </c>
      <c r="AC27" s="116">
        <v>276283.033</v>
      </c>
      <c r="AD27" s="116">
        <v>764299.43799999997</v>
      </c>
      <c r="AE27" s="116">
        <v>28931.064999999999</v>
      </c>
      <c r="AF27" s="116">
        <v>85242.89</v>
      </c>
      <c r="AG27" s="116">
        <v>1222356.591</v>
      </c>
      <c r="AH27" s="116">
        <f t="shared" si="5"/>
        <v>1222356.5909999998</v>
      </c>
      <c r="AI27" s="116">
        <v>312387.99699999997</v>
      </c>
      <c r="AJ27" s="116">
        <v>780263.69299999997</v>
      </c>
      <c r="AK27" s="116">
        <v>34013.319000000003</v>
      </c>
      <c r="AL27" s="116">
        <v>95691.581999999995</v>
      </c>
      <c r="AM27" s="122">
        <v>1265383.5430031999</v>
      </c>
      <c r="AN27" s="116">
        <f t="shared" si="6"/>
        <v>1307265.0829999999</v>
      </c>
      <c r="AO27" s="116">
        <v>351882.65500000003</v>
      </c>
      <c r="AP27" s="116">
        <v>815235.55200000003</v>
      </c>
      <c r="AQ27" s="116">
        <v>36702.707000000002</v>
      </c>
      <c r="AR27" s="116">
        <v>103444.16899999999</v>
      </c>
      <c r="AT27" s="122">
        <v>1309925.0437169122</v>
      </c>
      <c r="AU27" s="122">
        <v>1356034.4052557473</v>
      </c>
      <c r="AV27" s="122">
        <v>1403766.8163207497</v>
      </c>
    </row>
    <row r="28" spans="1:48" x14ac:dyDescent="0.25">
      <c r="A28" s="114">
        <v>24</v>
      </c>
      <c r="B28" s="115" t="s">
        <v>139</v>
      </c>
      <c r="C28" s="116">
        <v>1053704.3700000001</v>
      </c>
      <c r="D28" s="117">
        <f t="shared" si="0"/>
        <v>1090185.496</v>
      </c>
      <c r="E28" s="117">
        <v>293861.41499999998</v>
      </c>
      <c r="F28" s="117">
        <v>719710.17500000005</v>
      </c>
      <c r="G28" s="117">
        <v>27906.527999999998</v>
      </c>
      <c r="H28" s="117">
        <v>48707.377999999997</v>
      </c>
      <c r="I28" s="116">
        <v>1139802.2</v>
      </c>
      <c r="J28" s="117">
        <f t="shared" si="1"/>
        <v>1153223.73</v>
      </c>
      <c r="K28" s="117">
        <v>318658.91600000003</v>
      </c>
      <c r="L28" s="117">
        <v>754747.31299999997</v>
      </c>
      <c r="M28" s="117">
        <v>30505.7</v>
      </c>
      <c r="N28" s="117">
        <v>49311.800999999999</v>
      </c>
      <c r="O28" s="116">
        <v>1412898.98</v>
      </c>
      <c r="P28" s="117">
        <f t="shared" si="2"/>
        <v>1210071.53</v>
      </c>
      <c r="Q28" s="117">
        <v>337612.84700000001</v>
      </c>
      <c r="R28" s="117">
        <v>787381.72199999995</v>
      </c>
      <c r="S28" s="117">
        <v>33063.964999999997</v>
      </c>
      <c r="T28" s="117">
        <v>52012.995999999999</v>
      </c>
      <c r="U28" s="116">
        <v>1398089.96</v>
      </c>
      <c r="V28" s="116">
        <f t="shared" si="3"/>
        <v>1362518.41</v>
      </c>
      <c r="W28" s="116">
        <v>384546.44300000003</v>
      </c>
      <c r="X28" s="116">
        <v>842556.98</v>
      </c>
      <c r="Y28" s="116">
        <v>34671.281000000003</v>
      </c>
      <c r="Z28" s="116">
        <v>100743.70600000001</v>
      </c>
      <c r="AA28" s="116">
        <v>1474501.2649999999</v>
      </c>
      <c r="AB28" s="116">
        <f t="shared" si="4"/>
        <v>1474501.2649999999</v>
      </c>
      <c r="AC28" s="116">
        <v>419093.228</v>
      </c>
      <c r="AD28" s="116">
        <v>923409.17</v>
      </c>
      <c r="AE28" s="116">
        <v>35835.531999999999</v>
      </c>
      <c r="AF28" s="116">
        <v>96163.335000000006</v>
      </c>
      <c r="AG28" s="116">
        <v>1561482.111</v>
      </c>
      <c r="AH28" s="116">
        <f t="shared" si="5"/>
        <v>1561482.111</v>
      </c>
      <c r="AI28" s="116">
        <v>423166.11</v>
      </c>
      <c r="AJ28" s="116">
        <v>997879.04200000002</v>
      </c>
      <c r="AK28" s="116">
        <v>38480.608999999997</v>
      </c>
      <c r="AL28" s="116">
        <v>101956.35</v>
      </c>
      <c r="AM28" s="122">
        <v>1616446.2813072</v>
      </c>
      <c r="AN28" s="116">
        <f t="shared" si="6"/>
        <v>1679687.959</v>
      </c>
      <c r="AO28" s="116">
        <v>440712.935</v>
      </c>
      <c r="AP28" s="116">
        <v>1071211.4029999999</v>
      </c>
      <c r="AQ28" s="116">
        <v>43652.103000000003</v>
      </c>
      <c r="AR28" s="116">
        <v>124111.518</v>
      </c>
      <c r="AT28" s="122">
        <v>1673345.1904092131</v>
      </c>
      <c r="AU28" s="122">
        <v>1732246.9411116173</v>
      </c>
      <c r="AV28" s="122">
        <v>1793222.0334387461</v>
      </c>
    </row>
    <row r="29" spans="1:48" x14ac:dyDescent="0.25">
      <c r="A29" s="114">
        <v>25</v>
      </c>
      <c r="B29" s="115" t="s">
        <v>141</v>
      </c>
      <c r="C29" s="116">
        <v>1377070.61</v>
      </c>
      <c r="D29" s="117">
        <f t="shared" si="0"/>
        <v>1159508.3150000002</v>
      </c>
      <c r="E29" s="117">
        <v>310562.321</v>
      </c>
      <c r="F29" s="117">
        <v>742607.92099999997</v>
      </c>
      <c r="G29" s="117">
        <v>38169.040000000001</v>
      </c>
      <c r="H29" s="117">
        <v>68169.032999999996</v>
      </c>
      <c r="I29" s="116">
        <v>1546493.6</v>
      </c>
      <c r="J29" s="117">
        <f t="shared" si="1"/>
        <v>1488619.81</v>
      </c>
      <c r="K29" s="117">
        <v>334971.26</v>
      </c>
      <c r="L29" s="117">
        <v>1044006.124</v>
      </c>
      <c r="M29" s="117">
        <v>40843.665000000001</v>
      </c>
      <c r="N29" s="117">
        <v>68798.760999999999</v>
      </c>
      <c r="O29" s="116">
        <v>1725624.55</v>
      </c>
      <c r="P29" s="117">
        <f t="shared" si="2"/>
        <v>1556303.7840000002</v>
      </c>
      <c r="Q29" s="117">
        <v>347282.07799999998</v>
      </c>
      <c r="R29" s="117">
        <v>1095398.1440000001</v>
      </c>
      <c r="S29" s="117">
        <v>44852.3</v>
      </c>
      <c r="T29" s="117">
        <v>68771.262000000002</v>
      </c>
      <c r="U29" s="116">
        <v>1885940.16</v>
      </c>
      <c r="V29" s="116">
        <f t="shared" si="3"/>
        <v>1740849.9279999998</v>
      </c>
      <c r="W29" s="116">
        <v>346948.28100000002</v>
      </c>
      <c r="X29" s="116">
        <v>1286238.6359999999</v>
      </c>
      <c r="Y29" s="116">
        <v>41703.326999999997</v>
      </c>
      <c r="Z29" s="116">
        <v>65959.683999999994</v>
      </c>
      <c r="AA29" s="116">
        <v>1939628.83</v>
      </c>
      <c r="AB29" s="116">
        <f t="shared" si="4"/>
        <v>1939628.83</v>
      </c>
      <c r="AC29" s="116">
        <v>412206.44500000001</v>
      </c>
      <c r="AD29" s="116">
        <v>1339984.8589999999</v>
      </c>
      <c r="AE29" s="116">
        <v>51007.47</v>
      </c>
      <c r="AF29" s="116">
        <v>136430.05600000001</v>
      </c>
      <c r="AG29" s="116">
        <v>2061188.4580000001</v>
      </c>
      <c r="AH29" s="116">
        <f t="shared" si="5"/>
        <v>2061188.4580000001</v>
      </c>
      <c r="AI29" s="116">
        <v>491751.81699999998</v>
      </c>
      <c r="AJ29" s="116">
        <v>1291111.3700000001</v>
      </c>
      <c r="AK29" s="116">
        <v>61140.273000000001</v>
      </c>
      <c r="AL29" s="116">
        <v>217184.99799999999</v>
      </c>
      <c r="AM29" s="122">
        <v>2133742.2917216001</v>
      </c>
      <c r="AN29" s="116">
        <f t="shared" si="6"/>
        <v>2228601.9960000003</v>
      </c>
      <c r="AO29" s="116">
        <v>551911.27500000002</v>
      </c>
      <c r="AP29" s="116">
        <v>1359332.3160000001</v>
      </c>
      <c r="AQ29" s="116">
        <v>65949.298999999999</v>
      </c>
      <c r="AR29" s="116">
        <v>251409.106</v>
      </c>
      <c r="AT29" s="122">
        <v>2208850.0203902</v>
      </c>
      <c r="AU29" s="122">
        <v>2286601.5411079344</v>
      </c>
      <c r="AV29" s="122">
        <v>2367089.9153549336</v>
      </c>
    </row>
    <row r="30" spans="1:48" x14ac:dyDescent="0.25">
      <c r="A30" s="114">
        <v>26</v>
      </c>
      <c r="B30" s="115" t="s">
        <v>143</v>
      </c>
      <c r="C30" s="116">
        <v>1339722.1200000001</v>
      </c>
      <c r="D30" s="117">
        <f t="shared" si="0"/>
        <v>1339805.557</v>
      </c>
      <c r="E30" s="117">
        <v>354949.26299999998</v>
      </c>
      <c r="F30" s="117">
        <v>849013.15800000005</v>
      </c>
      <c r="G30" s="117">
        <v>54611.94</v>
      </c>
      <c r="H30" s="117">
        <v>81231.195999999996</v>
      </c>
      <c r="I30" s="116">
        <v>1416962.96</v>
      </c>
      <c r="J30" s="117">
        <f t="shared" si="1"/>
        <v>1418182.8589999999</v>
      </c>
      <c r="K30" s="117">
        <v>372982.16499999998</v>
      </c>
      <c r="L30" s="117">
        <v>904690.83299999998</v>
      </c>
      <c r="M30" s="117">
        <v>57148.273000000001</v>
      </c>
      <c r="N30" s="117">
        <v>83361.588000000003</v>
      </c>
      <c r="O30" s="116">
        <v>1672918.51</v>
      </c>
      <c r="P30" s="117">
        <f t="shared" si="2"/>
        <v>1493726.077</v>
      </c>
      <c r="Q30" s="117">
        <v>393361.386</v>
      </c>
      <c r="R30" s="117">
        <v>950027.826</v>
      </c>
      <c r="S30" s="117">
        <v>54909.597000000002</v>
      </c>
      <c r="T30" s="117">
        <v>95427.267999999996</v>
      </c>
      <c r="U30" s="116">
        <v>1773470.65</v>
      </c>
      <c r="V30" s="116">
        <f t="shared" si="3"/>
        <v>1628434.7759999998</v>
      </c>
      <c r="W30" s="116">
        <v>429250.12199999997</v>
      </c>
      <c r="X30" s="116">
        <v>1046009.999</v>
      </c>
      <c r="Y30" s="116">
        <v>54987.139000000003</v>
      </c>
      <c r="Z30" s="116">
        <v>98187.516000000003</v>
      </c>
      <c r="AA30" s="116">
        <v>1743600.4110000001</v>
      </c>
      <c r="AB30" s="116">
        <f t="shared" si="4"/>
        <v>1743600.4109999998</v>
      </c>
      <c r="AC30" s="116">
        <v>427315.06400000001</v>
      </c>
      <c r="AD30" s="116">
        <v>1134178.9509999999</v>
      </c>
      <c r="AE30" s="116">
        <v>62672.466</v>
      </c>
      <c r="AF30" s="116">
        <v>119433.93</v>
      </c>
      <c r="AG30" s="116">
        <v>1843757.8319999999</v>
      </c>
      <c r="AH30" s="116">
        <f t="shared" si="5"/>
        <v>1843757.8319999999</v>
      </c>
      <c r="AI30" s="116">
        <v>448978.54200000002</v>
      </c>
      <c r="AJ30" s="116">
        <v>1182584.433</v>
      </c>
      <c r="AK30" s="116">
        <v>85574.004000000001</v>
      </c>
      <c r="AL30" s="116">
        <v>126620.853</v>
      </c>
      <c r="AM30" s="122">
        <v>1908658.1076863999</v>
      </c>
      <c r="AN30" s="116">
        <f t="shared" si="6"/>
        <v>1989850.6310000001</v>
      </c>
      <c r="AO30" s="116">
        <v>548144.62</v>
      </c>
      <c r="AP30" s="116">
        <v>1261688.673</v>
      </c>
      <c r="AQ30" s="116">
        <v>63752.732000000004</v>
      </c>
      <c r="AR30" s="116">
        <v>116264.606</v>
      </c>
      <c r="AT30" s="122">
        <v>1975842.8730769611</v>
      </c>
      <c r="AU30" s="122">
        <v>2045392.5422092699</v>
      </c>
      <c r="AV30" s="122">
        <v>2117390.359695036</v>
      </c>
    </row>
    <row r="31" spans="1:48" x14ac:dyDescent="0.25">
      <c r="A31" s="114">
        <v>27</v>
      </c>
      <c r="B31" s="115" t="s">
        <v>145</v>
      </c>
      <c r="C31" s="116">
        <v>1180756.71</v>
      </c>
      <c r="D31" s="117">
        <f t="shared" si="0"/>
        <v>1235121.1590000002</v>
      </c>
      <c r="E31" s="117">
        <v>338543.91200000001</v>
      </c>
      <c r="F31" s="117">
        <v>776252.58299999998</v>
      </c>
      <c r="G31" s="117">
        <v>34881.334000000003</v>
      </c>
      <c r="H31" s="117">
        <v>85443.33</v>
      </c>
      <c r="I31" s="116">
        <v>1339002.8899999999</v>
      </c>
      <c r="J31" s="117">
        <f t="shared" si="1"/>
        <v>1436591.7429999998</v>
      </c>
      <c r="K31" s="117">
        <v>351736.15700000001</v>
      </c>
      <c r="L31" s="117">
        <v>934169.03799999994</v>
      </c>
      <c r="M31" s="117">
        <v>38184.911999999997</v>
      </c>
      <c r="N31" s="117">
        <v>112501.636</v>
      </c>
      <c r="O31" s="116">
        <v>1676829.41</v>
      </c>
      <c r="P31" s="117">
        <f t="shared" si="2"/>
        <v>1503715.6230000001</v>
      </c>
      <c r="Q31" s="117">
        <v>359016.58899999998</v>
      </c>
      <c r="R31" s="117">
        <v>984634.32200000004</v>
      </c>
      <c r="S31" s="117">
        <v>42008.735000000001</v>
      </c>
      <c r="T31" s="117">
        <v>118055.977</v>
      </c>
      <c r="U31" s="116">
        <v>1803246.07</v>
      </c>
      <c r="V31" s="116">
        <f t="shared" si="3"/>
        <v>1740569.2479999999</v>
      </c>
      <c r="W31" s="116">
        <v>377796.51699999999</v>
      </c>
      <c r="X31" s="116">
        <v>1176050.9450000001</v>
      </c>
      <c r="Y31" s="116">
        <v>43664.582000000002</v>
      </c>
      <c r="Z31" s="116">
        <v>143057.204</v>
      </c>
      <c r="AA31" s="116">
        <v>1899181.159</v>
      </c>
      <c r="AB31" s="116">
        <f t="shared" si="4"/>
        <v>1899181.159</v>
      </c>
      <c r="AC31" s="116">
        <v>460226.28100000002</v>
      </c>
      <c r="AD31" s="116">
        <v>1212900.3049999999</v>
      </c>
      <c r="AE31" s="116">
        <v>50154.587</v>
      </c>
      <c r="AF31" s="116">
        <v>175899.986</v>
      </c>
      <c r="AG31" s="116">
        <v>2026768.0619999999</v>
      </c>
      <c r="AH31" s="116">
        <f t="shared" si="5"/>
        <v>2026768.0619999999</v>
      </c>
      <c r="AI31" s="116">
        <v>538273.93299999996</v>
      </c>
      <c r="AJ31" s="116">
        <v>1341293.121</v>
      </c>
      <c r="AK31" s="116">
        <v>59413.017999999996</v>
      </c>
      <c r="AL31" s="116">
        <v>87787.99</v>
      </c>
      <c r="AM31" s="122">
        <v>2098110.2977823997</v>
      </c>
      <c r="AN31" s="116">
        <f t="shared" si="6"/>
        <v>2169797.4439999997</v>
      </c>
      <c r="AO31" s="116">
        <v>640855.43700000003</v>
      </c>
      <c r="AP31" s="116">
        <v>1290763.27</v>
      </c>
      <c r="AQ31" s="116">
        <v>68709.903000000006</v>
      </c>
      <c r="AR31" s="116">
        <v>169468.834</v>
      </c>
      <c r="AT31" s="122">
        <v>2171963.7802643399</v>
      </c>
      <c r="AU31" s="122">
        <v>2248416.9053296451</v>
      </c>
      <c r="AV31" s="122">
        <v>2327561.1803972479</v>
      </c>
    </row>
    <row r="32" spans="1:48" x14ac:dyDescent="0.25">
      <c r="A32" s="114">
        <v>28</v>
      </c>
      <c r="B32" s="115" t="s">
        <v>147</v>
      </c>
      <c r="C32" s="116">
        <v>1706745</v>
      </c>
      <c r="D32" s="117">
        <f t="shared" si="0"/>
        <v>1706745.4010000003</v>
      </c>
      <c r="E32" s="117">
        <v>468325.44400000002</v>
      </c>
      <c r="F32" s="117">
        <v>1088452.1200000001</v>
      </c>
      <c r="G32" s="117">
        <v>52363.548999999999</v>
      </c>
      <c r="H32" s="117">
        <v>97604.288</v>
      </c>
      <c r="I32" s="116">
        <v>1800122</v>
      </c>
      <c r="J32" s="117">
        <f t="shared" si="1"/>
        <v>1799881.9909999999</v>
      </c>
      <c r="K32" s="117">
        <v>499016.86099999998</v>
      </c>
      <c r="L32" s="117">
        <v>1141595.0649999999</v>
      </c>
      <c r="M32" s="117">
        <v>55724.057999999997</v>
      </c>
      <c r="N32" s="117">
        <v>103546.007</v>
      </c>
      <c r="O32" s="116">
        <v>2002896</v>
      </c>
      <c r="P32" s="117">
        <f t="shared" si="2"/>
        <v>1918687.453</v>
      </c>
      <c r="Q32" s="117">
        <v>530874.45600000001</v>
      </c>
      <c r="R32" s="117">
        <v>1219067.9890000001</v>
      </c>
      <c r="S32" s="117">
        <v>59126.351999999999</v>
      </c>
      <c r="T32" s="117">
        <v>109618.656</v>
      </c>
      <c r="U32" s="116">
        <v>2165126</v>
      </c>
      <c r="V32" s="116">
        <f t="shared" si="3"/>
        <v>2087469.4979999999</v>
      </c>
      <c r="W32" s="116">
        <v>574728.58799999999</v>
      </c>
      <c r="X32" s="116">
        <v>1281009.442</v>
      </c>
      <c r="Y32" s="116">
        <v>65891.069000000003</v>
      </c>
      <c r="Z32" s="116">
        <v>165840.399</v>
      </c>
      <c r="AA32" s="116">
        <v>2223566.7259999998</v>
      </c>
      <c r="AB32" s="116">
        <f t="shared" si="4"/>
        <v>2223566.7260000003</v>
      </c>
      <c r="AC32" s="116">
        <v>606575.00100000005</v>
      </c>
      <c r="AD32" s="116">
        <v>1441243.284</v>
      </c>
      <c r="AE32" s="116">
        <v>67431.474000000002</v>
      </c>
      <c r="AF32" s="116">
        <v>108316.967</v>
      </c>
      <c r="AG32" s="116">
        <v>2352278.159</v>
      </c>
      <c r="AH32" s="116">
        <f t="shared" si="5"/>
        <v>2352278.1590000005</v>
      </c>
      <c r="AI32" s="116">
        <v>629676.05599999998</v>
      </c>
      <c r="AJ32" s="116">
        <v>1531920.243</v>
      </c>
      <c r="AK32" s="116">
        <v>75933.728000000003</v>
      </c>
      <c r="AL32" s="116">
        <v>114748.132</v>
      </c>
      <c r="AM32" s="122">
        <v>2435078.3501967993</v>
      </c>
      <c r="AN32" s="116">
        <f t="shared" si="6"/>
        <v>2530332.1490000007</v>
      </c>
      <c r="AO32" s="116">
        <v>701042.06700000004</v>
      </c>
      <c r="AP32" s="116">
        <v>1603541.2760000001</v>
      </c>
      <c r="AQ32" s="116">
        <v>85255.808000000005</v>
      </c>
      <c r="AR32" s="116">
        <v>140492.99799999999</v>
      </c>
      <c r="AT32" s="122">
        <v>2520793.1081237267</v>
      </c>
      <c r="AU32" s="122">
        <v>2609525.0255296822</v>
      </c>
      <c r="AV32" s="122">
        <v>2701380.3064283268</v>
      </c>
    </row>
    <row r="33" spans="1:48" x14ac:dyDescent="0.25">
      <c r="A33" s="114">
        <v>29</v>
      </c>
      <c r="B33" s="115" t="s">
        <v>149</v>
      </c>
      <c r="C33" s="116">
        <v>686176.95</v>
      </c>
      <c r="D33" s="117">
        <f t="shared" si="0"/>
        <v>665041.71700000006</v>
      </c>
      <c r="E33" s="117">
        <v>158216.606</v>
      </c>
      <c r="F33" s="117">
        <v>455136.27600000001</v>
      </c>
      <c r="G33" s="117">
        <v>17069.302</v>
      </c>
      <c r="H33" s="117">
        <v>34619.533000000003</v>
      </c>
      <c r="I33" s="116">
        <v>725808</v>
      </c>
      <c r="J33" s="117">
        <f t="shared" si="1"/>
        <v>725763.33599999989</v>
      </c>
      <c r="K33" s="117">
        <v>178453.356</v>
      </c>
      <c r="L33" s="117">
        <v>494612.484</v>
      </c>
      <c r="M33" s="117">
        <v>17754.649000000001</v>
      </c>
      <c r="N33" s="117">
        <v>34942.847000000002</v>
      </c>
      <c r="O33" s="116">
        <v>903307</v>
      </c>
      <c r="P33" s="117">
        <f t="shared" si="2"/>
        <v>795210.00300000003</v>
      </c>
      <c r="Q33" s="117">
        <v>180151.33900000001</v>
      </c>
      <c r="R33" s="117">
        <v>560044.92200000002</v>
      </c>
      <c r="S33" s="117">
        <v>18321.492999999999</v>
      </c>
      <c r="T33" s="117">
        <v>36692.249000000003</v>
      </c>
      <c r="U33" s="116">
        <v>976255</v>
      </c>
      <c r="V33" s="116">
        <f t="shared" si="3"/>
        <v>939853.12299999991</v>
      </c>
      <c r="W33" s="116">
        <v>223565.8</v>
      </c>
      <c r="X33" s="116">
        <v>650700.97499999998</v>
      </c>
      <c r="Y33" s="116">
        <v>25663.948</v>
      </c>
      <c r="Z33" s="116">
        <v>39922.400000000001</v>
      </c>
      <c r="AA33" s="116">
        <v>1057000.3959999999</v>
      </c>
      <c r="AB33" s="116">
        <f t="shared" si="4"/>
        <v>1057000.3959999999</v>
      </c>
      <c r="AC33" s="116">
        <v>232034.446</v>
      </c>
      <c r="AD33" s="116">
        <v>717268.34499999997</v>
      </c>
      <c r="AE33" s="116">
        <v>37088.588000000003</v>
      </c>
      <c r="AF33" s="116">
        <v>70609.017000000007</v>
      </c>
      <c r="AG33" s="116">
        <v>1126798.0900000001</v>
      </c>
      <c r="AH33" s="116">
        <f t="shared" si="5"/>
        <v>1126798.0900000001</v>
      </c>
      <c r="AI33" s="116">
        <v>273105.54599999997</v>
      </c>
      <c r="AJ33" s="116">
        <v>727856.73199999996</v>
      </c>
      <c r="AK33" s="116">
        <v>41242.114000000001</v>
      </c>
      <c r="AL33" s="116">
        <v>84593.698000000004</v>
      </c>
      <c r="AM33" s="122">
        <v>1166461.3827679998</v>
      </c>
      <c r="AN33" s="116">
        <f t="shared" si="6"/>
        <v>1250161.4450000001</v>
      </c>
      <c r="AO33" s="116">
        <v>317997.66700000002</v>
      </c>
      <c r="AP33" s="116">
        <v>784873.97199999995</v>
      </c>
      <c r="AQ33" s="116">
        <v>76071.816999999995</v>
      </c>
      <c r="AR33" s="116">
        <v>71217.989000000001</v>
      </c>
      <c r="AT33" s="122">
        <v>1207520.8234414335</v>
      </c>
      <c r="AU33" s="122">
        <v>1250025.5564265719</v>
      </c>
      <c r="AV33" s="122">
        <v>1294026.4560127866</v>
      </c>
    </row>
    <row r="34" spans="1:48" x14ac:dyDescent="0.25">
      <c r="A34" s="114">
        <v>30</v>
      </c>
      <c r="B34" s="115" t="s">
        <v>151</v>
      </c>
      <c r="C34" s="116">
        <v>3134641.76</v>
      </c>
      <c r="D34" s="117">
        <f t="shared" si="0"/>
        <v>2872525.1209999998</v>
      </c>
      <c r="E34" s="117">
        <v>722252.40300000005</v>
      </c>
      <c r="F34" s="117">
        <v>1800600.3659999999</v>
      </c>
      <c r="G34" s="117">
        <v>240364.97899999999</v>
      </c>
      <c r="H34" s="117">
        <v>109307.37300000001</v>
      </c>
      <c r="I34" s="116">
        <v>3199035.68</v>
      </c>
      <c r="J34" s="117">
        <f t="shared" si="1"/>
        <v>3154297.3530000001</v>
      </c>
      <c r="K34" s="117">
        <v>753863.61199999996</v>
      </c>
      <c r="L34" s="117">
        <v>2035331.9509999999</v>
      </c>
      <c r="M34" s="117">
        <v>249958.22099999999</v>
      </c>
      <c r="N34" s="117">
        <v>115143.569</v>
      </c>
      <c r="O34" s="116">
        <v>3447953.38</v>
      </c>
      <c r="P34" s="117">
        <f t="shared" si="2"/>
        <v>3287975.4859999996</v>
      </c>
      <c r="Q34" s="117">
        <v>738677.62399999995</v>
      </c>
      <c r="R34" s="117">
        <v>2171012.7829999998</v>
      </c>
      <c r="S34" s="117">
        <v>257829.804</v>
      </c>
      <c r="T34" s="117">
        <v>120455.27499999999</v>
      </c>
      <c r="U34" s="116">
        <v>4135615.88</v>
      </c>
      <c r="V34" s="116">
        <f t="shared" si="3"/>
        <v>3814156.1329999999</v>
      </c>
      <c r="W34" s="116">
        <v>774667.56</v>
      </c>
      <c r="X34" s="116">
        <v>2549315.327</v>
      </c>
      <c r="Y34" s="116">
        <v>267792.19900000002</v>
      </c>
      <c r="Z34" s="116">
        <v>222381.04699999999</v>
      </c>
      <c r="AA34" s="116">
        <v>4185221.8450000002</v>
      </c>
      <c r="AB34" s="116">
        <f t="shared" si="4"/>
        <v>4185221.8449999997</v>
      </c>
      <c r="AC34" s="116">
        <v>820523.51699999999</v>
      </c>
      <c r="AD34" s="116">
        <v>2867729.1889999998</v>
      </c>
      <c r="AE34" s="116">
        <v>268991.98700000002</v>
      </c>
      <c r="AF34" s="116">
        <v>227977.152</v>
      </c>
      <c r="AG34" s="116">
        <v>4472986.3449999997</v>
      </c>
      <c r="AH34" s="116">
        <f t="shared" si="5"/>
        <v>4472986.3450000007</v>
      </c>
      <c r="AI34" s="116">
        <v>1006174.233</v>
      </c>
      <c r="AJ34" s="116">
        <v>2707512.7439999999</v>
      </c>
      <c r="AK34" s="116">
        <v>484366.99099999998</v>
      </c>
      <c r="AL34" s="116">
        <v>274932.37699999998</v>
      </c>
      <c r="AM34" s="122">
        <v>4630435.4643439986</v>
      </c>
      <c r="AN34" s="116">
        <f t="shared" si="6"/>
        <v>4937126.3090000004</v>
      </c>
      <c r="AO34" s="116">
        <v>1180963.2080000001</v>
      </c>
      <c r="AP34" s="116">
        <v>3068267.9759999998</v>
      </c>
      <c r="AQ34" s="116">
        <v>494247.07799999998</v>
      </c>
      <c r="AR34" s="116">
        <v>193648.04699999999</v>
      </c>
      <c r="AT34" s="122">
        <v>4793426.7926889081</v>
      </c>
      <c r="AU34" s="122">
        <v>4962155.4157915572</v>
      </c>
      <c r="AV34" s="122">
        <v>5136823.2864274196</v>
      </c>
    </row>
    <row r="35" spans="1:48" x14ac:dyDescent="0.25">
      <c r="A35" s="114">
        <v>31</v>
      </c>
      <c r="B35" s="115" t="s">
        <v>153</v>
      </c>
      <c r="C35" s="116">
        <v>1141541.44</v>
      </c>
      <c r="D35" s="117">
        <f t="shared" si="0"/>
        <v>1047705.9109999998</v>
      </c>
      <c r="E35" s="117">
        <v>290690.74</v>
      </c>
      <c r="F35" s="117">
        <v>677622.80299999996</v>
      </c>
      <c r="G35" s="117">
        <v>32044.808000000001</v>
      </c>
      <c r="H35" s="117">
        <v>47347.56</v>
      </c>
      <c r="I35" s="116">
        <v>1177171.04</v>
      </c>
      <c r="J35" s="117">
        <f t="shared" si="1"/>
        <v>1108454.9160000002</v>
      </c>
      <c r="K35" s="117">
        <v>306918.64500000002</v>
      </c>
      <c r="L35" s="117">
        <v>712655.88500000001</v>
      </c>
      <c r="M35" s="117">
        <v>34890.718000000001</v>
      </c>
      <c r="N35" s="117">
        <v>53989.667999999998</v>
      </c>
      <c r="O35" s="116">
        <v>1222737.6100000001</v>
      </c>
      <c r="P35" s="117">
        <f t="shared" si="2"/>
        <v>1177960.0330000001</v>
      </c>
      <c r="Q35" s="117">
        <v>325313.06</v>
      </c>
      <c r="R35" s="117">
        <v>757841.33</v>
      </c>
      <c r="S35" s="117">
        <v>37644.195</v>
      </c>
      <c r="T35" s="117">
        <v>57161.447999999997</v>
      </c>
      <c r="U35" s="116">
        <v>1499832.25</v>
      </c>
      <c r="V35" s="116">
        <f t="shared" si="3"/>
        <v>1276642.9609999999</v>
      </c>
      <c r="W35" s="116">
        <v>343928.91899999999</v>
      </c>
      <c r="X35" s="116">
        <v>832697.50699999998</v>
      </c>
      <c r="Y35" s="116">
        <v>39669.372000000003</v>
      </c>
      <c r="Z35" s="116">
        <v>60347.163</v>
      </c>
      <c r="AA35" s="116">
        <v>1375377.1640000001</v>
      </c>
      <c r="AB35" s="116">
        <f t="shared" si="4"/>
        <v>1375377.1640000001</v>
      </c>
      <c r="AC35" s="116">
        <v>361734.90700000001</v>
      </c>
      <c r="AD35" s="116">
        <v>907923.34100000001</v>
      </c>
      <c r="AE35" s="116">
        <v>41056.635999999999</v>
      </c>
      <c r="AF35" s="116">
        <v>64662.28</v>
      </c>
      <c r="AG35" s="116">
        <v>1453399.3119999999</v>
      </c>
      <c r="AH35" s="116">
        <f t="shared" si="5"/>
        <v>1453399.3119999999</v>
      </c>
      <c r="AI35" s="116">
        <v>374585.42300000001</v>
      </c>
      <c r="AJ35" s="116">
        <v>966943.56200000003</v>
      </c>
      <c r="AK35" s="116">
        <v>43417.072</v>
      </c>
      <c r="AL35" s="116">
        <v>68453.255000000005</v>
      </c>
      <c r="AM35" s="122">
        <v>1504558.9677823998</v>
      </c>
      <c r="AN35" s="116">
        <f t="shared" si="6"/>
        <v>1574468.4429999997</v>
      </c>
      <c r="AO35" s="116">
        <v>423851.00099999999</v>
      </c>
      <c r="AP35" s="116">
        <v>1024924.548</v>
      </c>
      <c r="AQ35" s="116">
        <v>48515.432999999997</v>
      </c>
      <c r="AR35" s="116">
        <v>77177.460999999996</v>
      </c>
      <c r="AT35" s="122">
        <v>1557519.4434483403</v>
      </c>
      <c r="AU35" s="122">
        <v>1612344.1278577216</v>
      </c>
      <c r="AV35" s="122">
        <v>1669098.6411583133</v>
      </c>
    </row>
    <row r="36" spans="1:48" x14ac:dyDescent="0.25">
      <c r="A36" s="114">
        <v>32</v>
      </c>
      <c r="B36" s="115" t="s">
        <v>155</v>
      </c>
      <c r="C36" s="116">
        <v>1010665.14</v>
      </c>
      <c r="D36" s="117">
        <f t="shared" si="0"/>
        <v>847321.478</v>
      </c>
      <c r="E36" s="117">
        <v>229260.087</v>
      </c>
      <c r="F36" s="117">
        <v>546755.09400000004</v>
      </c>
      <c r="G36" s="117">
        <v>32762.521000000001</v>
      </c>
      <c r="H36" s="117">
        <v>38543.775999999998</v>
      </c>
      <c r="I36" s="116">
        <v>1068897.6399999999</v>
      </c>
      <c r="J36" s="117">
        <f t="shared" si="1"/>
        <v>1075832.4379999998</v>
      </c>
      <c r="K36" s="117">
        <v>241689.57500000001</v>
      </c>
      <c r="L36" s="117">
        <v>758447.11199999996</v>
      </c>
      <c r="M36" s="117">
        <v>34609.428999999996</v>
      </c>
      <c r="N36" s="117">
        <v>41086.322</v>
      </c>
      <c r="O36" s="116">
        <v>1246253.6299999999</v>
      </c>
      <c r="P36" s="117">
        <f t="shared" si="2"/>
        <v>1121769.05</v>
      </c>
      <c r="Q36" s="117">
        <v>251047.13399999999</v>
      </c>
      <c r="R36" s="117">
        <v>792438.27599999995</v>
      </c>
      <c r="S36" s="117">
        <v>35979.985999999997</v>
      </c>
      <c r="T36" s="117">
        <v>42303.654000000002</v>
      </c>
      <c r="U36" s="116">
        <v>1408631.11</v>
      </c>
      <c r="V36" s="116">
        <f t="shared" si="3"/>
        <v>1289018.1009999998</v>
      </c>
      <c r="W36" s="116">
        <v>277758.07299999997</v>
      </c>
      <c r="X36" s="116">
        <v>926396.73899999994</v>
      </c>
      <c r="Y36" s="116">
        <v>40077.936999999998</v>
      </c>
      <c r="Z36" s="116">
        <v>44785.351999999999</v>
      </c>
      <c r="AA36" s="116">
        <v>1475791.781</v>
      </c>
      <c r="AB36" s="116">
        <f t="shared" si="4"/>
        <v>1475791.781</v>
      </c>
      <c r="AC36" s="116">
        <v>286400.56199999998</v>
      </c>
      <c r="AD36" s="116">
        <v>1090058.645</v>
      </c>
      <c r="AE36" s="116">
        <v>41003.917999999998</v>
      </c>
      <c r="AF36" s="116">
        <v>58328.656000000003</v>
      </c>
      <c r="AG36" s="116">
        <v>1568687.327</v>
      </c>
      <c r="AH36" s="116">
        <f t="shared" si="5"/>
        <v>1568687.3269999998</v>
      </c>
      <c r="AI36" s="116">
        <v>384890.30599999998</v>
      </c>
      <c r="AJ36" s="116">
        <v>1032379.784</v>
      </c>
      <c r="AK36" s="116">
        <v>62412.561000000002</v>
      </c>
      <c r="AL36" s="116">
        <v>89004.676000000007</v>
      </c>
      <c r="AM36" s="122">
        <v>1623905.1209103998</v>
      </c>
      <c r="AN36" s="116">
        <f t="shared" si="6"/>
        <v>1729503.9929999998</v>
      </c>
      <c r="AO36" s="116">
        <v>465467.20799999998</v>
      </c>
      <c r="AP36" s="116">
        <v>1118246.416</v>
      </c>
      <c r="AQ36" s="116">
        <v>61159.618000000002</v>
      </c>
      <c r="AR36" s="116">
        <v>84630.751000000004</v>
      </c>
      <c r="AT36" s="122">
        <v>1681066.5811664457</v>
      </c>
      <c r="AU36" s="122">
        <v>1740240.1248235044</v>
      </c>
      <c r="AV36" s="122">
        <v>1801496.5772172918</v>
      </c>
    </row>
    <row r="37" spans="1:48" x14ac:dyDescent="0.25">
      <c r="A37" s="278" t="s">
        <v>243</v>
      </c>
      <c r="B37" s="279"/>
      <c r="C37" s="79">
        <f>SUM(C5:C36)</f>
        <v>50416626.569999993</v>
      </c>
      <c r="D37" s="118">
        <f>SUM(D5:D36)</f>
        <v>48617763.599999994</v>
      </c>
      <c r="E37" s="118">
        <f t="shared" ref="E37:H37" si="7">SUM(E5:E36)</f>
        <v>12899267.372000001</v>
      </c>
      <c r="F37" s="118">
        <f t="shared" si="7"/>
        <v>31405698.593000006</v>
      </c>
      <c r="G37" s="118">
        <f t="shared" si="7"/>
        <v>1704580.4809999997</v>
      </c>
      <c r="H37" s="118">
        <f t="shared" si="7"/>
        <v>2608217.1540000001</v>
      </c>
      <c r="I37" s="124">
        <f>SUM(I5:I36)</f>
        <v>51890067.270000011</v>
      </c>
      <c r="J37" s="118">
        <f>SUM(J5:J36)</f>
        <v>53100077.838</v>
      </c>
      <c r="K37" s="118">
        <f t="shared" ref="K37:N37" si="8">SUM(K5:K36)</f>
        <v>13643234.090999998</v>
      </c>
      <c r="L37" s="118">
        <f t="shared" si="8"/>
        <v>34642871.292000003</v>
      </c>
      <c r="M37" s="118">
        <f t="shared" si="8"/>
        <v>1836950.0489999999</v>
      </c>
      <c r="N37" s="118">
        <f t="shared" si="8"/>
        <v>2977022.406</v>
      </c>
      <c r="O37" s="79">
        <f>SUM(O5:O36)</f>
        <v>58475705.159999996</v>
      </c>
      <c r="P37" s="125">
        <f>SUM(P5:P36)</f>
        <v>55698661.071000002</v>
      </c>
      <c r="Q37" s="118">
        <f t="shared" ref="Q37:T37" si="9">SUM(Q5:Q36)</f>
        <v>14249489.269999998</v>
      </c>
      <c r="R37" s="118">
        <f t="shared" si="9"/>
        <v>36404141.077</v>
      </c>
      <c r="S37" s="118">
        <f t="shared" si="9"/>
        <v>1890152.9660000007</v>
      </c>
      <c r="T37" s="118">
        <f t="shared" si="9"/>
        <v>3154877.7579999994</v>
      </c>
      <c r="U37" s="79">
        <f>SUM(U5:U36)</f>
        <v>64793133.659999996</v>
      </c>
      <c r="V37" s="125">
        <f t="shared" ref="V37:Z37" si="10">SUM(V5:V36)</f>
        <v>61951394.932000011</v>
      </c>
      <c r="W37" s="125">
        <f t="shared" si="10"/>
        <v>15478079.833000001</v>
      </c>
      <c r="X37" s="125">
        <f t="shared" si="10"/>
        <v>40439862.800999999</v>
      </c>
      <c r="Y37" s="125">
        <f t="shared" si="10"/>
        <v>2048733.1219999995</v>
      </c>
      <c r="Z37" s="125">
        <f t="shared" si="10"/>
        <v>3984719.176</v>
      </c>
      <c r="AA37" s="79">
        <f>SUM(AA5:AA36)</f>
        <v>67871103.190999985</v>
      </c>
      <c r="AB37" s="80">
        <f t="shared" ref="AB37:AF37" si="11">SUM(AB5:AB36)</f>
        <v>67871103.191</v>
      </c>
      <c r="AC37" s="80">
        <f t="shared" si="11"/>
        <v>16494389.52</v>
      </c>
      <c r="AD37" s="80">
        <f t="shared" si="11"/>
        <v>44729831.787000008</v>
      </c>
      <c r="AE37" s="80">
        <f t="shared" si="11"/>
        <v>2232195.9410000001</v>
      </c>
      <c r="AF37" s="80">
        <f t="shared" si="11"/>
        <v>4414685.9430000009</v>
      </c>
      <c r="AG37" s="79">
        <f>SUM(AG5:AG36)</f>
        <v>72045188.147000015</v>
      </c>
      <c r="AH37" s="125">
        <f t="shared" ref="AH37:AL37" si="12">SUM(AH5:AH36)</f>
        <v>72045188.14700003</v>
      </c>
      <c r="AI37" s="125">
        <f t="shared" si="12"/>
        <v>18140737.311999999</v>
      </c>
      <c r="AJ37" s="125">
        <f t="shared" si="12"/>
        <v>46234017.343999997</v>
      </c>
      <c r="AK37" s="125">
        <f t="shared" si="12"/>
        <v>2728480.017</v>
      </c>
      <c r="AL37" s="125">
        <f t="shared" si="12"/>
        <v>4941953.4739999995</v>
      </c>
      <c r="AM37" s="79">
        <f>SUM(AM5:AM36)</f>
        <v>74581178.769774392</v>
      </c>
      <c r="AN37" s="125">
        <f t="shared" ref="AN37:AR37" si="13">SUM(AN5:AN36)</f>
        <v>77845081.243000001</v>
      </c>
      <c r="AO37" s="125">
        <f t="shared" si="13"/>
        <v>20582412.608999997</v>
      </c>
      <c r="AP37" s="125">
        <f t="shared" si="13"/>
        <v>48826118.975000009</v>
      </c>
      <c r="AQ37" s="125">
        <f t="shared" si="13"/>
        <v>3231882.148</v>
      </c>
      <c r="AR37" s="125">
        <f t="shared" si="13"/>
        <v>5204667.5109999999</v>
      </c>
      <c r="AT37" s="126">
        <v>77206436.262470439</v>
      </c>
      <c r="AU37" s="126">
        <v>79924102.818909392</v>
      </c>
      <c r="AV37" s="126">
        <v>82737431.238134995</v>
      </c>
    </row>
    <row r="38" spans="1:48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</row>
    <row r="39" spans="1:48" x14ac:dyDescent="0.25">
      <c r="A39" s="81"/>
      <c r="B39" s="283" t="s">
        <v>266</v>
      </c>
      <c r="C39" s="285" t="s">
        <v>251</v>
      </c>
      <c r="D39" s="283" t="s">
        <v>269</v>
      </c>
      <c r="E39" s="282" t="s">
        <v>253</v>
      </c>
      <c r="F39" s="282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</row>
    <row r="40" spans="1:48" x14ac:dyDescent="0.25">
      <c r="A40" s="81"/>
      <c r="B40" s="284"/>
      <c r="C40" s="286"/>
      <c r="D40" s="287"/>
      <c r="E40" s="119" t="s">
        <v>254</v>
      </c>
      <c r="F40" s="119" t="s">
        <v>255</v>
      </c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</row>
    <row r="41" spans="1:48" x14ac:dyDescent="0.25">
      <c r="A41" s="81"/>
      <c r="B41" s="84"/>
      <c r="C41" s="273" t="s">
        <v>193</v>
      </c>
      <c r="D41" s="274"/>
      <c r="E41" s="275"/>
      <c r="F41" s="84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</row>
    <row r="42" spans="1:48" x14ac:dyDescent="0.25">
      <c r="B42" s="87">
        <v>2009</v>
      </c>
      <c r="C42" s="85">
        <v>50416626.569999993</v>
      </c>
      <c r="D42" s="85">
        <v>48617763.599999994</v>
      </c>
      <c r="E42" s="86">
        <f>D42-C42</f>
        <v>-1798862.9699999988</v>
      </c>
      <c r="F42" s="86">
        <f>E42/C42*100</f>
        <v>-3.5679955054160599</v>
      </c>
    </row>
    <row r="43" spans="1:48" x14ac:dyDescent="0.25">
      <c r="B43" s="87">
        <v>2010</v>
      </c>
      <c r="C43" s="85">
        <v>51890067.270000011</v>
      </c>
      <c r="D43" s="85">
        <v>53100077.838</v>
      </c>
      <c r="E43" s="86">
        <f t="shared" ref="E43:E48" si="14">D43-C43</f>
        <v>1210010.5679999888</v>
      </c>
      <c r="F43" s="86">
        <f t="shared" ref="F43:F48" si="15">E43/C43*100</f>
        <v>2.3318731920387208</v>
      </c>
    </row>
    <row r="44" spans="1:48" x14ac:dyDescent="0.25">
      <c r="B44" s="87">
        <v>2011</v>
      </c>
      <c r="C44" s="85">
        <v>58475705.159999996</v>
      </c>
      <c r="D44" s="85">
        <v>55698661.071000002</v>
      </c>
      <c r="E44" s="86">
        <f t="shared" si="14"/>
        <v>-2777044.0889999941</v>
      </c>
      <c r="F44" s="86">
        <f t="shared" si="15"/>
        <v>-4.7490561788036665</v>
      </c>
    </row>
    <row r="45" spans="1:48" x14ac:dyDescent="0.25">
      <c r="B45" s="87">
        <v>2012</v>
      </c>
      <c r="C45" s="85">
        <v>64793133.659999996</v>
      </c>
      <c r="D45" s="85">
        <v>61951394.932000011</v>
      </c>
      <c r="E45" s="86">
        <f t="shared" si="14"/>
        <v>-2841738.7279999852</v>
      </c>
      <c r="F45" s="86">
        <f t="shared" si="15"/>
        <v>-4.385864006689232</v>
      </c>
    </row>
    <row r="46" spans="1:48" x14ac:dyDescent="0.25">
      <c r="B46" s="87">
        <v>2013</v>
      </c>
      <c r="C46" s="85">
        <v>67871103.190999985</v>
      </c>
      <c r="D46" s="85">
        <v>67871103.191</v>
      </c>
      <c r="E46" s="86">
        <f t="shared" si="14"/>
        <v>0</v>
      </c>
      <c r="F46" s="86">
        <f t="shared" si="15"/>
        <v>0</v>
      </c>
      <c r="G46" t="s">
        <v>261</v>
      </c>
    </row>
    <row r="47" spans="1:48" x14ac:dyDescent="0.25">
      <c r="B47" s="87">
        <v>2014</v>
      </c>
      <c r="C47" s="85">
        <v>72045188.147000015</v>
      </c>
      <c r="D47" s="85">
        <v>72045188.14700003</v>
      </c>
      <c r="E47" s="86">
        <f t="shared" si="14"/>
        <v>0</v>
      </c>
      <c r="F47" s="86">
        <f t="shared" si="15"/>
        <v>0</v>
      </c>
      <c r="G47" t="s">
        <v>261</v>
      </c>
    </row>
    <row r="48" spans="1:48" x14ac:dyDescent="0.25">
      <c r="B48" s="87">
        <v>2015</v>
      </c>
      <c r="C48" s="85">
        <v>74581178.769774392</v>
      </c>
      <c r="D48" s="85">
        <v>77845081.243000001</v>
      </c>
      <c r="E48" s="86">
        <f t="shared" si="14"/>
        <v>3263902.4732256085</v>
      </c>
      <c r="F48" s="86">
        <f t="shared" si="15"/>
        <v>4.3763085098198724</v>
      </c>
    </row>
    <row r="49" spans="2:2" x14ac:dyDescent="0.25">
      <c r="B49" t="s">
        <v>267</v>
      </c>
    </row>
    <row r="50" spans="2:2" x14ac:dyDescent="0.25">
      <c r="B50" t="s">
        <v>268</v>
      </c>
    </row>
  </sheetData>
  <mergeCells count="10">
    <mergeCell ref="C41:E41"/>
    <mergeCell ref="AT3:AV3"/>
    <mergeCell ref="A1:AR1"/>
    <mergeCell ref="A37:B37"/>
    <mergeCell ref="A2:AR2"/>
    <mergeCell ref="C3:AR3"/>
    <mergeCell ref="E39:F39"/>
    <mergeCell ref="B39:B40"/>
    <mergeCell ref="C39:C40"/>
    <mergeCell ref="D39:D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Ficha Técnica Gasto Persona 1</vt:lpstr>
      <vt:lpstr>Datos gasto Persona</vt:lpstr>
      <vt:lpstr>Ficha Técnica Gasto Comunidad 2</vt:lpstr>
      <vt:lpstr>Datos gasto Comunidad(2)</vt:lpstr>
      <vt:lpstr>PEF 2009-2015 SHCP</vt:lpstr>
      <vt:lpstr>'Datos gasto Comunidad(2)'!Área_de_impresión</vt:lpstr>
      <vt:lpstr>'Datos gasto Persona'!Área_de_impresión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dgis</dc:creator>
  <cp:lastModifiedBy>Laura Gloria Hernández</cp:lastModifiedBy>
  <cp:lastPrinted>2014-04-25T18:27:40Z</cp:lastPrinted>
  <dcterms:created xsi:type="dcterms:W3CDTF">2014-03-07T23:34:40Z</dcterms:created>
  <dcterms:modified xsi:type="dcterms:W3CDTF">2014-11-24T16:14:42Z</dcterms:modified>
</cp:coreProperties>
</file>